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Рыбина Евгения\Desktop\Рабочая\!!!Свод по закупкам\2023\ВБС\Ремонт офиса (доп.работы)\"/>
    </mc:Choice>
  </mc:AlternateContent>
  <xr:revisionPtr revIDLastSave="0" documentId="13_ncr:1_{723E279F-7F22-48E0-A5F1-4A833BE635B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0" i="1" l="1"/>
  <c r="D150" i="1"/>
  <c r="I147" i="1"/>
  <c r="D147" i="1"/>
  <c r="I144" i="1"/>
  <c r="D144" i="1"/>
  <c r="J141" i="1"/>
  <c r="C141" i="1"/>
  <c r="J140" i="1"/>
  <c r="C140" i="1"/>
  <c r="J139" i="1"/>
  <c r="C139" i="1"/>
  <c r="J138" i="1"/>
  <c r="C138" i="1"/>
  <c r="J137" i="1"/>
  <c r="C137" i="1"/>
  <c r="J136" i="1"/>
  <c r="C136" i="1"/>
  <c r="J135" i="1"/>
  <c r="C135" i="1"/>
  <c r="J134" i="1"/>
  <c r="C134" i="1"/>
  <c r="J133" i="1"/>
  <c r="C133" i="1"/>
  <c r="J132" i="1"/>
  <c r="C132" i="1"/>
  <c r="J131" i="1"/>
  <c r="C131" i="1"/>
  <c r="J130" i="1"/>
  <c r="C130" i="1"/>
  <c r="J129" i="1"/>
  <c r="C129" i="1"/>
  <c r="J128" i="1"/>
  <c r="C128" i="1"/>
  <c r="AF126" i="1"/>
  <c r="A126" i="1"/>
  <c r="J124" i="1"/>
  <c r="C124" i="1"/>
  <c r="J123" i="1"/>
  <c r="C123" i="1"/>
  <c r="J122" i="1"/>
  <c r="C122" i="1"/>
  <c r="J121" i="1"/>
  <c r="C121" i="1"/>
  <c r="J120" i="1"/>
  <c r="C120" i="1"/>
  <c r="J119" i="1"/>
  <c r="C119" i="1"/>
  <c r="J118" i="1"/>
  <c r="C118" i="1"/>
  <c r="J117" i="1"/>
  <c r="C117" i="1"/>
  <c r="A114" i="1"/>
  <c r="A110" i="1"/>
  <c r="Z108" i="1"/>
  <c r="Y108" i="1"/>
  <c r="W108" i="1"/>
  <c r="L108" i="1"/>
  <c r="Q108" i="1" s="1"/>
  <c r="L107" i="1"/>
  <c r="G107" i="1"/>
  <c r="E107" i="1"/>
  <c r="J106" i="1"/>
  <c r="E106" i="1"/>
  <c r="K105" i="1"/>
  <c r="J105" i="1"/>
  <c r="E105" i="1"/>
  <c r="K104" i="1"/>
  <c r="J104" i="1"/>
  <c r="H104" i="1"/>
  <c r="G104" i="1"/>
  <c r="F104" i="1"/>
  <c r="R103" i="1"/>
  <c r="K103" i="1"/>
  <c r="J103" i="1"/>
  <c r="H103" i="1"/>
  <c r="G108" i="1" s="1"/>
  <c r="O108" i="1" s="1"/>
  <c r="G103" i="1"/>
  <c r="F103" i="1"/>
  <c r="V102" i="1"/>
  <c r="K106" i="1" s="1"/>
  <c r="J108" i="1" s="1"/>
  <c r="P108" i="1" s="1"/>
  <c r="U102" i="1"/>
  <c r="H106" i="1" s="1"/>
  <c r="T102" i="1"/>
  <c r="S102" i="1"/>
  <c r="H105" i="1" s="1"/>
  <c r="X108" i="1" s="1"/>
  <c r="I102" i="1"/>
  <c r="F102" i="1"/>
  <c r="E102" i="1"/>
  <c r="D102" i="1"/>
  <c r="C102" i="1"/>
  <c r="B102" i="1"/>
  <c r="Z101" i="1"/>
  <c r="Y101" i="1"/>
  <c r="W101" i="1"/>
  <c r="L101" i="1"/>
  <c r="Q101" i="1" s="1"/>
  <c r="J100" i="1"/>
  <c r="E100" i="1"/>
  <c r="K99" i="1"/>
  <c r="J99" i="1"/>
  <c r="E99" i="1"/>
  <c r="K98" i="1"/>
  <c r="J98" i="1"/>
  <c r="H98" i="1"/>
  <c r="G98" i="1"/>
  <c r="F98" i="1"/>
  <c r="K97" i="1"/>
  <c r="J97" i="1"/>
  <c r="H97" i="1"/>
  <c r="G97" i="1"/>
  <c r="F97" i="1"/>
  <c r="V96" i="1"/>
  <c r="K100" i="1" s="1"/>
  <c r="U96" i="1"/>
  <c r="H100" i="1" s="1"/>
  <c r="T96" i="1"/>
  <c r="S96" i="1"/>
  <c r="H99" i="1" s="1"/>
  <c r="I96" i="1"/>
  <c r="F96" i="1"/>
  <c r="E96" i="1"/>
  <c r="D96" i="1"/>
  <c r="C96" i="1"/>
  <c r="B96" i="1"/>
  <c r="Z95" i="1"/>
  <c r="Y95" i="1"/>
  <c r="W95" i="1"/>
  <c r="Q95" i="1"/>
  <c r="L95" i="1"/>
  <c r="Z94" i="1"/>
  <c r="Y94" i="1"/>
  <c r="W94" i="1"/>
  <c r="V94" i="1"/>
  <c r="U94" i="1"/>
  <c r="T94" i="1"/>
  <c r="S94" i="1"/>
  <c r="K94" i="1"/>
  <c r="J94" i="1"/>
  <c r="H94" i="1"/>
  <c r="X94" i="1" s="1"/>
  <c r="F94" i="1"/>
  <c r="E94" i="1"/>
  <c r="D94" i="1"/>
  <c r="B94" i="1"/>
  <c r="Z93" i="1"/>
  <c r="Y93" i="1"/>
  <c r="W93" i="1"/>
  <c r="V93" i="1"/>
  <c r="U93" i="1"/>
  <c r="T93" i="1"/>
  <c r="S93" i="1"/>
  <c r="K93" i="1"/>
  <c r="J93" i="1"/>
  <c r="H93" i="1"/>
  <c r="X93" i="1" s="1"/>
  <c r="F93" i="1"/>
  <c r="E93" i="1"/>
  <c r="D93" i="1"/>
  <c r="B93" i="1"/>
  <c r="Z92" i="1"/>
  <c r="Y92" i="1"/>
  <c r="W92" i="1"/>
  <c r="V92" i="1"/>
  <c r="U92" i="1"/>
  <c r="T92" i="1"/>
  <c r="S92" i="1"/>
  <c r="K92" i="1"/>
  <c r="J92" i="1"/>
  <c r="H92" i="1"/>
  <c r="X92" i="1" s="1"/>
  <c r="F92" i="1"/>
  <c r="E92" i="1"/>
  <c r="D92" i="1"/>
  <c r="B92" i="1"/>
  <c r="Z91" i="1"/>
  <c r="Y91" i="1"/>
  <c r="W91" i="1"/>
  <c r="V91" i="1"/>
  <c r="U91" i="1"/>
  <c r="T91" i="1"/>
  <c r="S91" i="1"/>
  <c r="K91" i="1"/>
  <c r="J91" i="1"/>
  <c r="H91" i="1"/>
  <c r="X91" i="1" s="1"/>
  <c r="F91" i="1"/>
  <c r="E91" i="1"/>
  <c r="D91" i="1"/>
  <c r="B91" i="1"/>
  <c r="L90" i="1"/>
  <c r="G90" i="1"/>
  <c r="E90" i="1"/>
  <c r="J89" i="1"/>
  <c r="E89" i="1"/>
  <c r="K88" i="1"/>
  <c r="J88" i="1"/>
  <c r="E88" i="1"/>
  <c r="K87" i="1"/>
  <c r="J87" i="1"/>
  <c r="H87" i="1"/>
  <c r="X95" i="1" s="1"/>
  <c r="G87" i="1"/>
  <c r="F87" i="1"/>
  <c r="K86" i="1"/>
  <c r="J86" i="1"/>
  <c r="H86" i="1"/>
  <c r="R86" i="1" s="1"/>
  <c r="G86" i="1"/>
  <c r="F86" i="1"/>
  <c r="K85" i="1"/>
  <c r="J85" i="1"/>
  <c r="H85" i="1"/>
  <c r="G85" i="1"/>
  <c r="F85" i="1"/>
  <c r="K84" i="1"/>
  <c r="J84" i="1"/>
  <c r="H84" i="1"/>
  <c r="R84" i="1" s="1"/>
  <c r="G84" i="1"/>
  <c r="F84" i="1"/>
  <c r="C83" i="1"/>
  <c r="V82" i="1"/>
  <c r="K89" i="1" s="1"/>
  <c r="U82" i="1"/>
  <c r="H89" i="1" s="1"/>
  <c r="T82" i="1"/>
  <c r="S82" i="1"/>
  <c r="H88" i="1" s="1"/>
  <c r="I82" i="1"/>
  <c r="F82" i="1"/>
  <c r="E82" i="1"/>
  <c r="D82" i="1"/>
  <c r="C82" i="1"/>
  <c r="B82" i="1"/>
  <c r="Z81" i="1"/>
  <c r="Y81" i="1"/>
  <c r="W81" i="1"/>
  <c r="Q81" i="1"/>
  <c r="L81" i="1"/>
  <c r="Z80" i="1"/>
  <c r="Y80" i="1"/>
  <c r="W80" i="1"/>
  <c r="V80" i="1"/>
  <c r="U80" i="1"/>
  <c r="T80" i="1"/>
  <c r="S80" i="1"/>
  <c r="K80" i="1"/>
  <c r="J80" i="1"/>
  <c r="H80" i="1"/>
  <c r="X80" i="1" s="1"/>
  <c r="F80" i="1"/>
  <c r="E80" i="1"/>
  <c r="D80" i="1"/>
  <c r="B80" i="1"/>
  <c r="L79" i="1"/>
  <c r="G79" i="1"/>
  <c r="E79" i="1"/>
  <c r="J78" i="1"/>
  <c r="E78" i="1"/>
  <c r="K77" i="1"/>
  <c r="J77" i="1"/>
  <c r="E77" i="1"/>
  <c r="K76" i="1"/>
  <c r="J76" i="1"/>
  <c r="H76" i="1"/>
  <c r="G76" i="1"/>
  <c r="F76" i="1"/>
  <c r="R75" i="1"/>
  <c r="K75" i="1"/>
  <c r="J75" i="1"/>
  <c r="H75" i="1"/>
  <c r="G75" i="1"/>
  <c r="F75" i="1"/>
  <c r="K74" i="1"/>
  <c r="J74" i="1"/>
  <c r="H74" i="1"/>
  <c r="G74" i="1"/>
  <c r="F74" i="1"/>
  <c r="R73" i="1"/>
  <c r="K73" i="1"/>
  <c r="J73" i="1"/>
  <c r="H73" i="1"/>
  <c r="G73" i="1"/>
  <c r="F73" i="1"/>
  <c r="C72" i="1"/>
  <c r="V71" i="1"/>
  <c r="K78" i="1" s="1"/>
  <c r="U71" i="1"/>
  <c r="H78" i="1" s="1"/>
  <c r="T71" i="1"/>
  <c r="S71" i="1"/>
  <c r="H77" i="1" s="1"/>
  <c r="I71" i="1"/>
  <c r="F71" i="1"/>
  <c r="E71" i="1"/>
  <c r="D71" i="1"/>
  <c r="C71" i="1"/>
  <c r="B71" i="1"/>
  <c r="Z70" i="1"/>
  <c r="Y70" i="1"/>
  <c r="W70" i="1"/>
  <c r="L70" i="1"/>
  <c r="Q70" i="1" s="1"/>
  <c r="Z69" i="1"/>
  <c r="Y69" i="1"/>
  <c r="W69" i="1"/>
  <c r="V69" i="1"/>
  <c r="U69" i="1"/>
  <c r="T69" i="1"/>
  <c r="S69" i="1"/>
  <c r="K69" i="1"/>
  <c r="J69" i="1"/>
  <c r="H69" i="1"/>
  <c r="X69" i="1" s="1"/>
  <c r="F69" i="1"/>
  <c r="E69" i="1"/>
  <c r="D69" i="1"/>
  <c r="B69" i="1"/>
  <c r="Z68" i="1"/>
  <c r="Y68" i="1"/>
  <c r="G29" i="1" s="1"/>
  <c r="W68" i="1"/>
  <c r="V68" i="1"/>
  <c r="U68" i="1"/>
  <c r="T68" i="1"/>
  <c r="S68" i="1"/>
  <c r="K68" i="1"/>
  <c r="J68" i="1"/>
  <c r="H68" i="1"/>
  <c r="X68" i="1" s="1"/>
  <c r="F68" i="1"/>
  <c r="E68" i="1"/>
  <c r="D68" i="1"/>
  <c r="B68" i="1"/>
  <c r="L67" i="1"/>
  <c r="G67" i="1"/>
  <c r="E67" i="1"/>
  <c r="J66" i="1"/>
  <c r="E66" i="1"/>
  <c r="K65" i="1"/>
  <c r="J65" i="1"/>
  <c r="E65" i="1"/>
  <c r="K64" i="1"/>
  <c r="J64" i="1"/>
  <c r="H64" i="1"/>
  <c r="G70" i="1" s="1"/>
  <c r="O70" i="1" s="1"/>
  <c r="G64" i="1"/>
  <c r="F64" i="1"/>
  <c r="R63" i="1"/>
  <c r="K63" i="1"/>
  <c r="J63" i="1"/>
  <c r="H63" i="1"/>
  <c r="G63" i="1"/>
  <c r="F63" i="1"/>
  <c r="K62" i="1"/>
  <c r="J62" i="1"/>
  <c r="H62" i="1"/>
  <c r="G62" i="1"/>
  <c r="F62" i="1"/>
  <c r="R61" i="1"/>
  <c r="K61" i="1"/>
  <c r="J61" i="1"/>
  <c r="H61" i="1"/>
  <c r="G61" i="1"/>
  <c r="F61" i="1"/>
  <c r="V60" i="1"/>
  <c r="K66" i="1" s="1"/>
  <c r="U60" i="1"/>
  <c r="H66" i="1" s="1"/>
  <c r="T60" i="1"/>
  <c r="S60" i="1"/>
  <c r="H65" i="1" s="1"/>
  <c r="X70" i="1" s="1"/>
  <c r="I60" i="1"/>
  <c r="F60" i="1"/>
  <c r="E60" i="1"/>
  <c r="D60" i="1"/>
  <c r="C60" i="1"/>
  <c r="B60" i="1"/>
  <c r="Z59" i="1"/>
  <c r="Y59" i="1"/>
  <c r="W59" i="1"/>
  <c r="Q59" i="1"/>
  <c r="L59" i="1"/>
  <c r="Z58" i="1"/>
  <c r="G30" i="1" s="1"/>
  <c r="Y58" i="1"/>
  <c r="X58" i="1"/>
  <c r="W58" i="1"/>
  <c r="V58" i="1"/>
  <c r="U58" i="1"/>
  <c r="T58" i="1"/>
  <c r="S58" i="1"/>
  <c r="K58" i="1"/>
  <c r="J58" i="1"/>
  <c r="H58" i="1"/>
  <c r="F58" i="1"/>
  <c r="E58" i="1"/>
  <c r="D58" i="1"/>
  <c r="B58" i="1"/>
  <c r="Z57" i="1"/>
  <c r="Y57" i="1"/>
  <c r="X57" i="1"/>
  <c r="W57" i="1"/>
  <c r="G27" i="1" s="1"/>
  <c r="V57" i="1"/>
  <c r="U57" i="1"/>
  <c r="T57" i="1"/>
  <c r="S57" i="1"/>
  <c r="K57" i="1"/>
  <c r="J57" i="1"/>
  <c r="H57" i="1"/>
  <c r="F57" i="1"/>
  <c r="E57" i="1"/>
  <c r="D57" i="1"/>
  <c r="B57" i="1"/>
  <c r="L56" i="1"/>
  <c r="G56" i="1"/>
  <c r="E56" i="1"/>
  <c r="J55" i="1"/>
  <c r="H55" i="1"/>
  <c r="E55" i="1"/>
  <c r="J54" i="1"/>
  <c r="E54" i="1"/>
  <c r="K53" i="1"/>
  <c r="J53" i="1"/>
  <c r="H53" i="1"/>
  <c r="G53" i="1"/>
  <c r="F53" i="1"/>
  <c r="K52" i="1"/>
  <c r="J52" i="1"/>
  <c r="H52" i="1"/>
  <c r="R52" i="1" s="1"/>
  <c r="G52" i="1"/>
  <c r="F52" i="1"/>
  <c r="K51" i="1"/>
  <c r="J51" i="1"/>
  <c r="H51" i="1"/>
  <c r="G51" i="1"/>
  <c r="F51" i="1"/>
  <c r="K50" i="1"/>
  <c r="J50" i="1"/>
  <c r="H50" i="1"/>
  <c r="R50" i="1" s="1"/>
  <c r="G50" i="1"/>
  <c r="F50" i="1"/>
  <c r="V49" i="1"/>
  <c r="K55" i="1" s="1"/>
  <c r="U49" i="1"/>
  <c r="T49" i="1"/>
  <c r="K54" i="1" s="1"/>
  <c r="S49" i="1"/>
  <c r="H54" i="1" s="1"/>
  <c r="G59" i="1" s="1"/>
  <c r="O59" i="1" s="1"/>
  <c r="I49" i="1"/>
  <c r="F49" i="1"/>
  <c r="E49" i="1"/>
  <c r="D49" i="1"/>
  <c r="C49" i="1"/>
  <c r="B49" i="1"/>
  <c r="Z48" i="1"/>
  <c r="Y48" i="1"/>
  <c r="W48" i="1"/>
  <c r="Q48" i="1"/>
  <c r="L48" i="1"/>
  <c r="K47" i="1"/>
  <c r="J47" i="1"/>
  <c r="E47" i="1"/>
  <c r="J46" i="1"/>
  <c r="H46" i="1"/>
  <c r="E46" i="1"/>
  <c r="K45" i="1"/>
  <c r="J45" i="1"/>
  <c r="H45" i="1"/>
  <c r="G45" i="1"/>
  <c r="F45" i="1"/>
  <c r="R44" i="1"/>
  <c r="K44" i="1"/>
  <c r="J44" i="1"/>
  <c r="H44" i="1"/>
  <c r="X48" i="1" s="1"/>
  <c r="G44" i="1"/>
  <c r="F44" i="1"/>
  <c r="V43" i="1"/>
  <c r="U43" i="1"/>
  <c r="H47" i="1" s="1"/>
  <c r="T43" i="1"/>
  <c r="K46" i="1" s="1"/>
  <c r="J48" i="1" s="1"/>
  <c r="P48" i="1" s="1"/>
  <c r="S43" i="1"/>
  <c r="I43" i="1"/>
  <c r="F43" i="1"/>
  <c r="E43" i="1"/>
  <c r="D43" i="1"/>
  <c r="C43" i="1"/>
  <c r="B43" i="1"/>
  <c r="A42" i="1"/>
  <c r="I32" i="1"/>
  <c r="I31" i="1"/>
  <c r="G31" i="1"/>
  <c r="I30" i="1"/>
  <c r="I29" i="1"/>
  <c r="I26" i="1" s="1"/>
  <c r="I28" i="1"/>
  <c r="I27" i="1"/>
  <c r="B19" i="1"/>
  <c r="B17" i="1"/>
  <c r="B15" i="1"/>
  <c r="A1" i="1"/>
  <c r="J81" i="1" l="1"/>
  <c r="P81" i="1" s="1"/>
  <c r="J95" i="1"/>
  <c r="P95" i="1" s="1"/>
  <c r="J126" i="1"/>
  <c r="G101" i="1"/>
  <c r="O101" i="1" s="1"/>
  <c r="X81" i="1"/>
  <c r="L114" i="1"/>
  <c r="J59" i="1"/>
  <c r="P59" i="1" s="1"/>
  <c r="J110" i="1" s="1"/>
  <c r="J70" i="1"/>
  <c r="P70" i="1" s="1"/>
  <c r="J101" i="1"/>
  <c r="P101" i="1" s="1"/>
  <c r="X101" i="1"/>
  <c r="L110" i="1"/>
  <c r="L126" i="1"/>
  <c r="G48" i="1"/>
  <c r="O48" i="1" s="1"/>
  <c r="X59" i="1"/>
  <c r="G28" i="1" s="1"/>
  <c r="G26" i="1" s="1"/>
  <c r="G81" i="1"/>
  <c r="O81" i="1" s="1"/>
  <c r="G95" i="1"/>
  <c r="O95" i="1" s="1"/>
  <c r="R97" i="1"/>
  <c r="G32" i="1" s="1"/>
  <c r="G126" i="1" l="1"/>
  <c r="G110" i="1"/>
  <c r="G114" i="1"/>
  <c r="J114" i="1"/>
</calcChain>
</file>

<file path=xl/sharedStrings.xml><?xml version="1.0" encoding="utf-8"?>
<sst xmlns="http://schemas.openxmlformats.org/spreadsheetml/2006/main" count="139" uniqueCount="70">
  <si>
    <t>"СОГЛАСОВАНО"</t>
  </si>
  <si>
    <t>"УТВЕРЖДАЮ"</t>
  </si>
  <si>
    <t>Генеральный директор Фонда по сохранению</t>
  </si>
  <si>
    <t>и развитию Соловецкого архипелага</t>
  </si>
  <si>
    <t>______________________  А.В. Ходос</t>
  </si>
  <si>
    <t>"_____"________________ 2022 г.</t>
  </si>
  <si>
    <t>г. Москва, проезд Проектируемый 4062-й, д. 6, стр. 16</t>
  </si>
  <si>
    <t xml:space="preserve">Номер заказа   </t>
  </si>
  <si>
    <t>(наименование работ и затрат, наименование объекта)</t>
  </si>
  <si>
    <t xml:space="preserve">Основание: </t>
  </si>
  <si>
    <t>базовая цена</t>
  </si>
  <si>
    <t>текущая цена</t>
  </si>
  <si>
    <t>Сметная стоимость</t>
  </si>
  <si>
    <t>тыс. руб.</t>
  </si>
  <si>
    <t xml:space="preserve">     Строительные работы</t>
  </si>
  <si>
    <t xml:space="preserve">     Монтажные работы</t>
  </si>
  <si>
    <t xml:space="preserve">     Оборудование</t>
  </si>
  <si>
    <t xml:space="preserve">     Прочие работы</t>
  </si>
  <si>
    <t>Нормативная трудоемкость</t>
  </si>
  <si>
    <t>чел. -ч.</t>
  </si>
  <si>
    <t>Средства на оплату труда</t>
  </si>
  <si>
    <t>Возврат материалов</t>
  </si>
  <si>
    <t>Строительный объем:</t>
  </si>
  <si>
    <t>Стоимость ед.стр.объема:</t>
  </si>
  <si>
    <t>Составлена в ценах II квартал 2022 года</t>
  </si>
  <si>
    <t>№ п/п</t>
  </si>
  <si>
    <t>Шифр расценки и коды ресурсов</t>
  </si>
  <si>
    <t>Наименование работ и затрат</t>
  </si>
  <si>
    <t>Ед. изм.</t>
  </si>
  <si>
    <t>Кол-во единиц</t>
  </si>
  <si>
    <t>Цена на ед. изм.</t>
  </si>
  <si>
    <t>Попра-вочные коэфф.</t>
  </si>
  <si>
    <t>Стоимость в ценах 2001г.</t>
  </si>
  <si>
    <t>Пункт коэфф. пересчета</t>
  </si>
  <si>
    <t>Коэфф. пересчета</t>
  </si>
  <si>
    <t>Стоимость в текущих ценах</t>
  </si>
  <si>
    <t>ЗТР всего чел.-час</t>
  </si>
  <si>
    <t/>
  </si>
  <si>
    <t>Зарплата</t>
  </si>
  <si>
    <t>Материальные ресурсы</t>
  </si>
  <si>
    <t>НР от ФОТ</t>
  </si>
  <si>
    <t>%</t>
  </si>
  <si>
    <t>СП от ФОТ</t>
  </si>
  <si>
    <t>Эксплуатация машин</t>
  </si>
  <si>
    <t>в т.ч. зарплата машинистов</t>
  </si>
  <si>
    <t>Затраты труда</t>
  </si>
  <si>
    <t>чел-ч</t>
  </si>
  <si>
    <t>2,1</t>
  </si>
  <si>
    <t>2,2</t>
  </si>
  <si>
    <t>3,1</t>
  </si>
  <si>
    <t>3,2</t>
  </si>
  <si>
    <t>4,1</t>
  </si>
  <si>
    <t>5,1</t>
  </si>
  <si>
    <t>5,2</t>
  </si>
  <si>
    <t>5,3</t>
  </si>
  <si>
    <t>5,4</t>
  </si>
  <si>
    <t xml:space="preserve">   </t>
  </si>
  <si>
    <t xml:space="preserve">Объемы согласовал  </t>
  </si>
  <si>
    <t>[должность,подпись(инициалы,фамилия)]</t>
  </si>
  <si>
    <t xml:space="preserve">Составил  </t>
  </si>
  <si>
    <t xml:space="preserve">Проверил  </t>
  </si>
  <si>
    <r>
      <t>SKAT-V.4 (пластик) (142), блок питания резервированный  </t>
    </r>
    <r>
      <rPr>
        <i/>
        <sz val="10"/>
        <rFont val="Arial"/>
        <family val="2"/>
        <charset val="204"/>
      </rPr>
      <t xml:space="preserve">
3 315,00 = 3 250 +  2% Заг.скл</t>
    </r>
  </si>
  <si>
    <r>
      <t>Аккумуляторная батарея SF 1207</t>
    </r>
    <r>
      <rPr>
        <i/>
        <sz val="10"/>
        <rFont val="Arial"/>
        <family val="2"/>
        <charset val="204"/>
      </rPr>
      <t xml:space="preserve">
694,16 = 680,55 +  2% Заг.скл</t>
    </r>
  </si>
  <si>
    <r>
      <t>DR-03i, кнопка выхода накладная пластик (КИТАЙ 10609050/310119/0003696 )</t>
    </r>
    <r>
      <rPr>
        <i/>
        <sz val="10"/>
        <rFont val="Arial"/>
        <family val="2"/>
        <charset val="204"/>
      </rPr>
      <t xml:space="preserve">
612,00 = 600 +  2% Заг.скл</t>
    </r>
  </si>
  <si>
    <r>
      <t>ST-ER115, устройство разблокировки двери с  восстанавливаемой вставкой (КИТАЙ 10131010/110722/3324269 )</t>
    </r>
    <r>
      <rPr>
        <i/>
        <sz val="10"/>
        <rFont val="Arial"/>
        <family val="2"/>
        <charset val="204"/>
      </rPr>
      <t xml:space="preserve">
561,00 = 550 +  2% Заг.скл</t>
    </r>
  </si>
  <si>
    <r>
      <t>GLS Выключатель накладной мебельный D66 мм, 250B, 2, 5A H16мм, с проводом 0, 2м белый</t>
    </r>
    <r>
      <rPr>
        <i/>
        <sz val="10"/>
        <rFont val="Arial"/>
        <family val="2"/>
        <charset val="204"/>
      </rPr>
      <t xml:space="preserve">
420,75 = 412,5 +  2% Заг.скл</t>
    </r>
  </si>
  <si>
    <r>
      <t>Модуль розетки компьютерной RJ-45, cat.5e, UTP, 1М, белый, Mosaic LegranD (076551)</t>
    </r>
    <r>
      <rPr>
        <i/>
        <sz val="10"/>
        <rFont val="Arial"/>
        <family val="2"/>
        <charset val="204"/>
      </rPr>
      <t xml:space="preserve">
585,80 = 574,31 +  2% Заг.скл</t>
    </r>
  </si>
  <si>
    <r>
      <t>Розетка Valena 2xRJ45 Cat.5, белый (774231)</t>
    </r>
    <r>
      <rPr>
        <i/>
        <sz val="10"/>
        <rFont val="Arial"/>
        <family val="2"/>
        <charset val="204"/>
      </rPr>
      <t xml:space="preserve">
1 513,00 = 1 483,33 +  2% Заг.скл</t>
    </r>
  </si>
  <si>
    <r>
      <t>Суппорт Mosaic для DLP с крышкой 65 мм, 2 модуля LegranD (010952)</t>
    </r>
    <r>
      <rPr>
        <i/>
        <sz val="10"/>
        <rFont val="Arial"/>
        <family val="2"/>
        <charset val="204"/>
      </rPr>
      <t xml:space="preserve">
189,83 = 186,11 +  2% Заг.скл</t>
    </r>
  </si>
  <si>
    <r>
      <t>Вставка-заглушка Mosaic, 22,5x45мм, белая</t>
    </r>
    <r>
      <rPr>
        <i/>
        <sz val="10"/>
        <rFont val="Arial"/>
        <family val="2"/>
        <charset val="204"/>
      </rPr>
      <t xml:space="preserve">
40,80 = 40 +  2% Заг.скл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</si>
</sst>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\ #,##0.00"/>
  </numFmts>
  <fonts count="12" x14ac:knownFonts="1">
    <font>
      <sz val="11"/>
      <color theme="1"/>
      <name val="Calibri"/>
      <family val="2"/>
      <scheme val="minor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4" fontId="9" fillId="0" borderId="0" xfId="0" applyNumberFormat="1" applyFont="1" applyAlignment="1">
      <alignment horizontal="left"/>
    </xf>
    <xf numFmtId="0" fontId="9" fillId="0" borderId="0" xfId="0" applyFont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64" fontId="9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164" fontId="10" fillId="0" borderId="0" xfId="0" applyNumberFormat="1" applyFont="1" applyAlignment="1">
      <alignment horizontal="right"/>
    </xf>
    <xf numFmtId="164" fontId="0" fillId="0" borderId="0" xfId="0" applyNumberFormat="1"/>
    <xf numFmtId="164" fontId="8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2" fillId="0" borderId="0" xfId="0" quotePrefix="1" applyFont="1" applyAlignment="1">
      <alignment horizontal="right" wrapText="1"/>
    </xf>
    <xf numFmtId="0" fontId="2" fillId="0" borderId="1" xfId="0" quotePrefix="1" applyFont="1" applyBorder="1" applyAlignment="1">
      <alignment horizontal="right" wrapText="1"/>
    </xf>
    <xf numFmtId="0" fontId="9" fillId="0" borderId="0" xfId="0" applyFont="1" applyAlignment="1">
      <alignment vertical="top" wrapText="1"/>
    </xf>
    <xf numFmtId="164" fontId="1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/>
    <xf numFmtId="0" fontId="1" fillId="0" borderId="4" xfId="0" applyFont="1" applyBorder="1" applyAlignment="1">
      <alignment horizontal="center" vertical="top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/>
    </xf>
    <xf numFmtId="0" fontId="5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51"/>
  <sheetViews>
    <sheetView tabSelected="1" view="pageBreakPreview" zoomScale="85" zoomScaleNormal="100" zoomScaleSheetLayoutView="85" workbookViewId="0">
      <selection activeCell="B15" sqref="B15:K15"/>
    </sheetView>
  </sheetViews>
  <sheetFormatPr defaultRowHeight="15" x14ac:dyDescent="0.25"/>
  <cols>
    <col min="1" max="1" width="5.7109375" customWidth="1"/>
    <col min="2" max="2" width="11.7109375" customWidth="1"/>
    <col min="3" max="3" width="40.7109375" customWidth="1"/>
    <col min="4" max="5" width="10.7109375" customWidth="1"/>
    <col min="6" max="8" width="12.7109375" customWidth="1"/>
    <col min="9" max="9" width="17.7109375" customWidth="1"/>
    <col min="10" max="10" width="8.7109375" customWidth="1"/>
    <col min="11" max="11" width="12.7109375" customWidth="1"/>
    <col min="12" max="12" width="9.7109375" customWidth="1"/>
    <col min="15" max="31" width="0" hidden="1" customWidth="1"/>
    <col min="32" max="32" width="91.7109375" hidden="1" customWidth="1"/>
    <col min="33" max="36" width="0" hidden="1" customWidth="1"/>
  </cols>
  <sheetData>
    <row r="1" spans="1:12" x14ac:dyDescent="0.25">
      <c r="A1" s="1" t="str">
        <f>#REF!</f>
        <v>Smeta.RU  (495) 974-1589</v>
      </c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3"/>
      <c r="L2" s="3"/>
    </row>
    <row r="3" spans="1:12" ht="16.5" x14ac:dyDescent="0.25">
      <c r="A3" s="4"/>
      <c r="B3" s="65" t="s">
        <v>0</v>
      </c>
      <c r="C3" s="65"/>
      <c r="D3" s="65"/>
      <c r="E3" s="65"/>
      <c r="F3" s="3"/>
      <c r="G3" s="3"/>
      <c r="H3" s="65" t="s">
        <v>1</v>
      </c>
      <c r="I3" s="65"/>
      <c r="J3" s="65"/>
      <c r="K3" s="65"/>
      <c r="L3" s="65"/>
    </row>
    <row r="4" spans="1:12" x14ac:dyDescent="0.25">
      <c r="A4" s="3"/>
      <c r="B4" s="66"/>
      <c r="C4" s="66"/>
      <c r="D4" s="66"/>
      <c r="E4" s="66"/>
      <c r="F4" s="3"/>
      <c r="G4" s="3"/>
      <c r="H4" s="66"/>
      <c r="I4" s="66"/>
      <c r="J4" s="66"/>
      <c r="K4" s="66"/>
      <c r="L4" s="66"/>
    </row>
    <row r="5" spans="1:12" x14ac:dyDescent="0.25">
      <c r="B5" s="3"/>
      <c r="C5" s="5"/>
      <c r="D5" s="5"/>
      <c r="E5" s="5"/>
      <c r="F5" s="3"/>
      <c r="G5" s="3"/>
      <c r="H5" s="49" t="s">
        <v>2</v>
      </c>
      <c r="I5" s="49"/>
      <c r="J5" s="49"/>
      <c r="K5" s="49"/>
      <c r="L5" s="5"/>
    </row>
    <row r="6" spans="1:12" x14ac:dyDescent="0.25">
      <c r="A6" s="3"/>
      <c r="B6" s="3"/>
      <c r="C6" s="3"/>
      <c r="D6" s="5"/>
      <c r="E6" s="5"/>
      <c r="F6" s="3"/>
      <c r="G6" s="3"/>
      <c r="H6" s="5" t="s">
        <v>3</v>
      </c>
      <c r="I6" s="5"/>
      <c r="J6" s="5"/>
      <c r="K6" s="5"/>
      <c r="L6" s="5"/>
    </row>
    <row r="7" spans="1:12" x14ac:dyDescent="0.25">
      <c r="A7" s="5"/>
      <c r="B7" s="66"/>
      <c r="C7" s="66"/>
      <c r="D7" s="66"/>
      <c r="E7" s="66"/>
      <c r="F7" s="3"/>
      <c r="G7" s="3"/>
      <c r="H7" s="66" t="s">
        <v>4</v>
      </c>
      <c r="I7" s="66"/>
      <c r="J7" s="66"/>
      <c r="K7" s="66"/>
      <c r="L7" s="66"/>
    </row>
    <row r="8" spans="1:12" x14ac:dyDescent="0.25">
      <c r="A8" s="7"/>
      <c r="B8" s="49" t="s">
        <v>5</v>
      </c>
      <c r="C8" s="49"/>
      <c r="D8" s="49"/>
      <c r="E8" s="49"/>
      <c r="F8" s="3"/>
      <c r="G8" s="3"/>
      <c r="H8" s="49" t="s">
        <v>5</v>
      </c>
      <c r="I8" s="49"/>
      <c r="J8" s="49"/>
      <c r="K8" s="49"/>
      <c r="L8" s="49"/>
    </row>
    <row r="11" spans="1:12" ht="15.75" x14ac:dyDescent="0.25">
      <c r="A11" s="7"/>
      <c r="B11" s="63" t="s">
        <v>6</v>
      </c>
      <c r="C11" s="63"/>
      <c r="D11" s="63"/>
      <c r="E11" s="63"/>
      <c r="F11" s="63"/>
      <c r="G11" s="63"/>
      <c r="H11" s="63"/>
      <c r="I11" s="63"/>
      <c r="J11" s="63"/>
      <c r="K11" s="63"/>
      <c r="L11" s="7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"/>
      <c r="B13" s="3"/>
      <c r="C13" s="3"/>
      <c r="D13" s="3"/>
      <c r="E13" s="3"/>
      <c r="F13" s="64" t="s">
        <v>7</v>
      </c>
      <c r="G13" s="64"/>
      <c r="H13" s="49"/>
      <c r="I13" s="49"/>
      <c r="J13" s="49"/>
      <c r="K13" s="49"/>
      <c r="L13" s="7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15.75" x14ac:dyDescent="0.25">
      <c r="A15" s="10"/>
      <c r="B15" s="63" t="str">
        <f>CONCATENATE( "ЛОКАЛЬНАЯ СМЕТА № ",#REF!, " ",#REF!)</f>
        <v xml:space="preserve">ЛОКАЛЬНАЯ СМЕТА № 02-01-02 </v>
      </c>
      <c r="C15" s="63"/>
      <c r="D15" s="63"/>
      <c r="E15" s="63"/>
      <c r="F15" s="63"/>
      <c r="G15" s="63"/>
      <c r="H15" s="63"/>
      <c r="I15" s="63"/>
      <c r="J15" s="63"/>
      <c r="K15" s="63"/>
      <c r="L15" s="10"/>
    </row>
    <row r="16" spans="1:12" ht="15.75" x14ac:dyDescent="0.25">
      <c r="A16" s="10"/>
      <c r="B16" s="8"/>
      <c r="C16" s="8"/>
      <c r="D16" s="8"/>
      <c r="E16" s="8"/>
      <c r="F16" s="8"/>
      <c r="G16" s="8"/>
      <c r="H16" s="8"/>
      <c r="I16" s="8"/>
      <c r="J16" s="8"/>
      <c r="K16" s="8"/>
      <c r="L16" s="10"/>
    </row>
    <row r="17" spans="1:12" ht="18" hidden="1" x14ac:dyDescent="0.25">
      <c r="A17" s="10"/>
      <c r="B17" s="59" t="str">
        <f>IF(#REF!&lt;&gt;"Новая локальная смета",#REF!, "")</f>
        <v>02-01-02</v>
      </c>
      <c r="C17" s="59"/>
      <c r="D17" s="59"/>
      <c r="E17" s="59"/>
      <c r="F17" s="59"/>
      <c r="G17" s="59"/>
      <c r="H17" s="59"/>
      <c r="I17" s="59"/>
      <c r="J17" s="59"/>
      <c r="K17" s="59"/>
      <c r="L17" s="10"/>
    </row>
    <row r="18" spans="1:12" hidden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8" x14ac:dyDescent="0.25">
      <c r="A19" s="3"/>
      <c r="B19" s="60" t="str">
        <f>IF(#REF!&lt;&gt;"Новый объект",#REF!, "")</f>
        <v>Ремонт офиса (СКУД)</v>
      </c>
      <c r="C19" s="60"/>
      <c r="D19" s="60"/>
      <c r="E19" s="60"/>
      <c r="F19" s="60"/>
      <c r="G19" s="60"/>
      <c r="H19" s="60"/>
      <c r="I19" s="60"/>
      <c r="J19" s="60"/>
      <c r="K19" s="60"/>
      <c r="L19" s="11"/>
    </row>
    <row r="20" spans="1:12" x14ac:dyDescent="0.25">
      <c r="A20" s="3"/>
      <c r="B20" s="61" t="s">
        <v>8</v>
      </c>
      <c r="C20" s="61"/>
      <c r="D20" s="61"/>
      <c r="E20" s="61"/>
      <c r="F20" s="61"/>
      <c r="G20" s="61"/>
      <c r="H20" s="61"/>
      <c r="I20" s="61"/>
      <c r="J20" s="61"/>
      <c r="K20" s="61"/>
      <c r="L20" s="7"/>
    </row>
    <row r="21" spans="1:12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25">
      <c r="A22" s="49" t="s">
        <v>9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</row>
    <row r="23" spans="1:12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5">
      <c r="A25" s="3"/>
      <c r="B25" s="3"/>
      <c r="C25" s="3"/>
      <c r="D25" s="3"/>
      <c r="E25" s="12"/>
      <c r="F25" s="12"/>
      <c r="G25" s="62" t="s">
        <v>10</v>
      </c>
      <c r="H25" s="62"/>
      <c r="I25" s="62" t="s">
        <v>11</v>
      </c>
      <c r="J25" s="62"/>
      <c r="K25" s="3"/>
      <c r="L25" s="3"/>
    </row>
    <row r="26" spans="1:12" x14ac:dyDescent="0.25">
      <c r="A26" s="3"/>
      <c r="B26" s="3"/>
      <c r="C26" s="56" t="s">
        <v>12</v>
      </c>
      <c r="D26" s="56"/>
      <c r="E26" s="56"/>
      <c r="F26" s="56"/>
      <c r="G26" s="50">
        <f>G27+G28+G29+G30</f>
        <v>58.6</v>
      </c>
      <c r="H26" s="50"/>
      <c r="I26" s="50">
        <f>I27+I28+I29+I30</f>
        <v>1076.51</v>
      </c>
      <c r="J26" s="50"/>
      <c r="K26" s="57" t="s">
        <v>13</v>
      </c>
      <c r="L26" s="57"/>
    </row>
    <row r="27" spans="1:12" x14ac:dyDescent="0.25">
      <c r="A27" s="3"/>
      <c r="B27" s="3"/>
      <c r="C27" s="58" t="s">
        <v>14</v>
      </c>
      <c r="D27" s="58"/>
      <c r="E27" s="58"/>
      <c r="F27" s="58"/>
      <c r="G27" s="50">
        <f>ROUND(SUM(W41:W115)/1000, 2)</f>
        <v>0</v>
      </c>
      <c r="H27" s="50"/>
      <c r="I27" s="50">
        <f>ROUND((#REF!)/1000, 2)</f>
        <v>0</v>
      </c>
      <c r="J27" s="50"/>
      <c r="K27" s="57" t="s">
        <v>13</v>
      </c>
      <c r="L27" s="57"/>
    </row>
    <row r="28" spans="1:12" x14ac:dyDescent="0.25">
      <c r="A28" s="3"/>
      <c r="B28" s="3"/>
      <c r="C28" s="58" t="s">
        <v>15</v>
      </c>
      <c r="D28" s="58"/>
      <c r="E28" s="58"/>
      <c r="F28" s="58"/>
      <c r="G28" s="50">
        <f>ROUND(SUM(X41:X115)/1000, 2)</f>
        <v>58.6</v>
      </c>
      <c r="H28" s="50"/>
      <c r="I28" s="50">
        <f>ROUND((#REF!)/1000, 2)</f>
        <v>1076.51</v>
      </c>
      <c r="J28" s="50"/>
      <c r="K28" s="57" t="s">
        <v>13</v>
      </c>
      <c r="L28" s="57"/>
    </row>
    <row r="29" spans="1:12" x14ac:dyDescent="0.25">
      <c r="A29" s="3"/>
      <c r="B29" s="3"/>
      <c r="C29" s="58" t="s">
        <v>16</v>
      </c>
      <c r="D29" s="58"/>
      <c r="E29" s="58"/>
      <c r="F29" s="58"/>
      <c r="G29" s="50">
        <f>ROUND(SUM(Y41:Y115)/1000, 2)</f>
        <v>0</v>
      </c>
      <c r="H29" s="50"/>
      <c r="I29" s="50">
        <f>ROUND((#REF!)/1000, 2)</f>
        <v>0</v>
      </c>
      <c r="J29" s="50"/>
      <c r="K29" s="57" t="s">
        <v>13</v>
      </c>
      <c r="L29" s="57"/>
    </row>
    <row r="30" spans="1:12" x14ac:dyDescent="0.25">
      <c r="A30" s="3"/>
      <c r="B30" s="3"/>
      <c r="C30" s="58" t="s">
        <v>17</v>
      </c>
      <c r="D30" s="58"/>
      <c r="E30" s="58"/>
      <c r="F30" s="58"/>
      <c r="G30" s="50">
        <f>ROUND(SUM(Z41:Z115)/1000, 2)</f>
        <v>0</v>
      </c>
      <c r="H30" s="50"/>
      <c r="I30" s="50">
        <f>ROUND((#REF!+#REF!)/1000, 2)</f>
        <v>0</v>
      </c>
      <c r="J30" s="50"/>
      <c r="K30" s="57" t="s">
        <v>13</v>
      </c>
      <c r="L30" s="57"/>
    </row>
    <row r="31" spans="1:12" x14ac:dyDescent="0.25">
      <c r="A31" s="3"/>
      <c r="B31" s="3"/>
      <c r="C31" s="56" t="s">
        <v>18</v>
      </c>
      <c r="D31" s="56"/>
      <c r="E31" s="56"/>
      <c r="F31" s="56"/>
      <c r="G31" s="50">
        <f>I31</f>
        <v>403.34304000000003</v>
      </c>
      <c r="H31" s="50"/>
      <c r="I31" s="50">
        <f>(#REF!+#REF!)</f>
        <v>403.34304000000003</v>
      </c>
      <c r="J31" s="50"/>
      <c r="K31" s="57" t="s">
        <v>19</v>
      </c>
      <c r="L31" s="57"/>
    </row>
    <row r="32" spans="1:12" x14ac:dyDescent="0.25">
      <c r="A32" s="3"/>
      <c r="B32" s="3"/>
      <c r="C32" s="56" t="s">
        <v>20</v>
      </c>
      <c r="D32" s="56"/>
      <c r="E32" s="56"/>
      <c r="F32" s="56"/>
      <c r="G32" s="50">
        <f>ROUND(SUM(R41:R115)/1000, 2)</f>
        <v>12.39</v>
      </c>
      <c r="H32" s="50"/>
      <c r="I32" s="50">
        <f>(#REF! +#REF!)/1000</f>
        <v>439.31144</v>
      </c>
      <c r="J32" s="50"/>
      <c r="K32" s="57" t="s">
        <v>13</v>
      </c>
      <c r="L32" s="57"/>
    </row>
    <row r="33" spans="1:26" hidden="1" x14ac:dyDescent="0.25">
      <c r="A33" s="3"/>
      <c r="B33" s="3"/>
      <c r="C33" s="58" t="s">
        <v>21</v>
      </c>
      <c r="D33" s="58"/>
      <c r="E33" s="58"/>
      <c r="F33" s="58"/>
      <c r="G33" s="50"/>
      <c r="H33" s="50"/>
      <c r="I33" s="50"/>
      <c r="J33" s="50"/>
      <c r="K33" s="15" t="s">
        <v>13</v>
      </c>
      <c r="L33" s="3"/>
    </row>
    <row r="34" spans="1:26" x14ac:dyDescent="0.25">
      <c r="A34" s="3"/>
      <c r="B34" s="3"/>
      <c r="C34" s="13"/>
      <c r="D34" s="13"/>
      <c r="E34" s="13"/>
      <c r="F34" s="5"/>
      <c r="G34" s="16"/>
      <c r="H34" s="16"/>
      <c r="I34" s="16"/>
      <c r="J34" s="16"/>
      <c r="K34" s="16"/>
      <c r="L34" s="16"/>
    </row>
    <row r="35" spans="1:26" ht="15.75" hidden="1" x14ac:dyDescent="0.25">
      <c r="A35" s="5" t="s">
        <v>22</v>
      </c>
      <c r="B35" s="3"/>
      <c r="C35" s="3"/>
      <c r="D35" s="3"/>
      <c r="E35" s="3"/>
      <c r="F35" s="3"/>
      <c r="G35" s="17"/>
      <c r="H35" s="17"/>
      <c r="I35" s="18"/>
      <c r="J35" s="17"/>
      <c r="K35" s="17"/>
      <c r="L35" s="17"/>
    </row>
    <row r="36" spans="1:26" ht="15.75" hidden="1" x14ac:dyDescent="0.25">
      <c r="A36" s="5" t="s">
        <v>23</v>
      </c>
      <c r="B36" s="3"/>
      <c r="C36" s="3"/>
      <c r="D36" s="3"/>
      <c r="E36" s="3"/>
      <c r="F36" s="3"/>
      <c r="G36" s="17"/>
      <c r="H36" s="17"/>
      <c r="I36" s="18"/>
      <c r="J36" s="17"/>
      <c r="K36" s="17"/>
      <c r="L36" s="17"/>
    </row>
    <row r="37" spans="1:26" ht="15.75" hidden="1" x14ac:dyDescent="0.25">
      <c r="A37" s="3"/>
      <c r="B37" s="3"/>
      <c r="C37" s="2"/>
      <c r="D37" s="2"/>
      <c r="E37" s="2"/>
      <c r="F37" s="2"/>
      <c r="G37" s="17"/>
      <c r="H37" s="17"/>
      <c r="I37" s="18"/>
      <c r="J37" s="17"/>
      <c r="K37" s="17"/>
      <c r="L37" s="17"/>
    </row>
    <row r="38" spans="1:26" x14ac:dyDescent="0.25">
      <c r="A38" s="54" t="s">
        <v>24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</row>
    <row r="39" spans="1:26" ht="57" x14ac:dyDescent="0.25">
      <c r="A39" s="19" t="s">
        <v>25</v>
      </c>
      <c r="B39" s="19" t="s">
        <v>26</v>
      </c>
      <c r="C39" s="19" t="s">
        <v>27</v>
      </c>
      <c r="D39" s="19" t="s">
        <v>28</v>
      </c>
      <c r="E39" s="19" t="s">
        <v>29</v>
      </c>
      <c r="F39" s="19" t="s">
        <v>30</v>
      </c>
      <c r="G39" s="19" t="s">
        <v>31</v>
      </c>
      <c r="H39" s="19" t="s">
        <v>32</v>
      </c>
      <c r="I39" s="19" t="s">
        <v>33</v>
      </c>
      <c r="J39" s="19" t="s">
        <v>34</v>
      </c>
      <c r="K39" s="19" t="s">
        <v>35</v>
      </c>
      <c r="L39" s="19" t="s">
        <v>36</v>
      </c>
    </row>
    <row r="40" spans="1:26" x14ac:dyDescent="0.25">
      <c r="A40" s="20">
        <v>1</v>
      </c>
      <c r="B40" s="20">
        <v>2</v>
      </c>
      <c r="C40" s="20">
        <v>3</v>
      </c>
      <c r="D40" s="20">
        <v>4</v>
      </c>
      <c r="E40" s="20">
        <v>5</v>
      </c>
      <c r="F40" s="20">
        <v>6</v>
      </c>
      <c r="G40" s="20">
        <v>7</v>
      </c>
      <c r="H40" s="20">
        <v>8</v>
      </c>
      <c r="I40" s="20">
        <v>9</v>
      </c>
      <c r="J40" s="20">
        <v>10</v>
      </c>
      <c r="K40" s="20">
        <v>11</v>
      </c>
      <c r="L40" s="21">
        <v>12</v>
      </c>
    </row>
    <row r="42" spans="1:26" ht="16.5" hidden="1" x14ac:dyDescent="0.25">
      <c r="A42" s="55" t="str">
        <f>CONCATENATE("Раздел: ",IF(#REF!&lt;&gt;"Новый раздел",#REF!, ""))</f>
        <v xml:space="preserve">Раздел: 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</row>
    <row r="43" spans="1:26" ht="57" x14ac:dyDescent="0.25">
      <c r="A43" s="22">
        <v>1</v>
      </c>
      <c r="B43" s="22" t="str">
        <f>#REF!</f>
        <v>м10-06-068-16</v>
      </c>
      <c r="C43" s="22" t="str">
        <f>#REF!</f>
        <v>Настройка простых сетевых трактов: программирование сетевого элемента и отладка его работы (мультиплексор, регенератор)</v>
      </c>
      <c r="D43" s="23" t="str">
        <f>#REF!</f>
        <v>сетевой элемент</v>
      </c>
      <c r="E43" s="2">
        <f>#REF!</f>
        <v>2</v>
      </c>
      <c r="F43" s="14">
        <f>#REF!+#REF!+#REF!</f>
        <v>301.72000000000003</v>
      </c>
      <c r="G43" s="9"/>
      <c r="H43" s="14"/>
      <c r="I43" s="9" t="str">
        <f>#REF!</f>
        <v/>
      </c>
      <c r="J43" s="9"/>
      <c r="K43" s="14"/>
      <c r="L43" s="24"/>
      <c r="S43">
        <f>ROUND((#REF!/100)*((ROUND(#REF!*#REF!, 2)+ROUND(#REF!*#REF!, 2))), 2)</f>
        <v>638.92999999999995</v>
      </c>
      <c r="T43">
        <f>#REF!</f>
        <v>22649.99</v>
      </c>
      <c r="U43">
        <f>ROUND((#REF!/100)*((ROUND(#REF!*#REF!, 2)+ROUND(#REF!*#REF!, 2))), 2)</f>
        <v>326.56</v>
      </c>
      <c r="V43">
        <f>#REF!</f>
        <v>11576.66</v>
      </c>
    </row>
    <row r="44" spans="1:26" x14ac:dyDescent="0.25">
      <c r="A44" s="22"/>
      <c r="B44" s="22"/>
      <c r="C44" s="22" t="s">
        <v>38</v>
      </c>
      <c r="D44" s="23"/>
      <c r="E44" s="2"/>
      <c r="F44" s="14">
        <f>#REF!</f>
        <v>295.8</v>
      </c>
      <c r="G44" s="9" t="str">
        <f>#REF!</f>
        <v>)*1,2</v>
      </c>
      <c r="H44" s="14">
        <f>ROUND(#REF!*#REF!, 2)</f>
        <v>709.92</v>
      </c>
      <c r="I44" s="9"/>
      <c r="J44" s="9">
        <f>IF(#REF!&lt;&gt; 0,#REF!, 1)</f>
        <v>35.450000000000003</v>
      </c>
      <c r="K44" s="14">
        <f>#REF!</f>
        <v>25166.66</v>
      </c>
      <c r="L44" s="24"/>
      <c r="R44">
        <f>H44</f>
        <v>709.92</v>
      </c>
    </row>
    <row r="45" spans="1:26" x14ac:dyDescent="0.25">
      <c r="A45" s="22"/>
      <c r="B45" s="22"/>
      <c r="C45" s="22" t="s">
        <v>39</v>
      </c>
      <c r="D45" s="23"/>
      <c r="E45" s="2"/>
      <c r="F45" s="14">
        <f>#REF!</f>
        <v>5.92</v>
      </c>
      <c r="G45" s="9" t="str">
        <f>#REF!</f>
        <v/>
      </c>
      <c r="H45" s="14">
        <f>ROUND(#REF!*#REF!, 2)</f>
        <v>11.84</v>
      </c>
      <c r="I45" s="9"/>
      <c r="J45" s="9">
        <f>IF(#REF!&lt;&gt; 0,#REF!, 1)</f>
        <v>6.9</v>
      </c>
      <c r="K45" s="14">
        <f>#REF!</f>
        <v>81.7</v>
      </c>
      <c r="L45" s="24"/>
    </row>
    <row r="46" spans="1:26" x14ac:dyDescent="0.25">
      <c r="A46" s="22"/>
      <c r="B46" s="22"/>
      <c r="C46" s="22" t="s">
        <v>40</v>
      </c>
      <c r="D46" s="23" t="s">
        <v>41</v>
      </c>
      <c r="E46" s="2">
        <f>#REF!</f>
        <v>90</v>
      </c>
      <c r="F46" s="25"/>
      <c r="G46" s="9"/>
      <c r="H46" s="14">
        <f>SUM(S43:S47)</f>
        <v>638.92999999999995</v>
      </c>
      <c r="I46" s="26"/>
      <c r="J46" s="6">
        <f>#REF!</f>
        <v>90</v>
      </c>
      <c r="K46" s="14">
        <f>SUM(T43:T47)</f>
        <v>22649.99</v>
      </c>
      <c r="L46" s="24"/>
    </row>
    <row r="47" spans="1:26" x14ac:dyDescent="0.25">
      <c r="A47" s="27"/>
      <c r="B47" s="27"/>
      <c r="C47" s="27" t="s">
        <v>42</v>
      </c>
      <c r="D47" s="28" t="s">
        <v>41</v>
      </c>
      <c r="E47" s="29">
        <f>#REF!</f>
        <v>46</v>
      </c>
      <c r="F47" s="30"/>
      <c r="G47" s="31"/>
      <c r="H47" s="32">
        <f>SUM(U43:U47)</f>
        <v>326.56</v>
      </c>
      <c r="I47" s="33"/>
      <c r="J47" s="34">
        <f>#REF!</f>
        <v>46</v>
      </c>
      <c r="K47" s="32">
        <f>SUM(V43:V47)</f>
        <v>11576.66</v>
      </c>
      <c r="L47" s="35"/>
    </row>
    <row r="48" spans="1:26" x14ac:dyDescent="0.25">
      <c r="G48" s="53">
        <f>H44+H45+H46+H47</f>
        <v>1687.25</v>
      </c>
      <c r="H48" s="53"/>
      <c r="J48" s="53">
        <f>K44+K45+K46+K47</f>
        <v>59475.010000000009</v>
      </c>
      <c r="K48" s="53"/>
      <c r="L48" s="36">
        <f>#REF!</f>
        <v>0</v>
      </c>
      <c r="O48" s="37">
        <f>G48</f>
        <v>1687.25</v>
      </c>
      <c r="P48" s="37">
        <f>J48</f>
        <v>59475.010000000009</v>
      </c>
      <c r="Q48" s="37">
        <f>L48</f>
        <v>0</v>
      </c>
      <c r="W48">
        <f>IF(#REF!&lt;=1,H44+H45+H46+H47, 0)</f>
        <v>0</v>
      </c>
      <c r="X48">
        <f>IF(#REF!=2,H44+H45+H46+H47, 0)</f>
        <v>1687.25</v>
      </c>
      <c r="Y48">
        <f>IF(#REF!=3,H44+H45+H46+H47, 0)</f>
        <v>0</v>
      </c>
      <c r="Z48">
        <f>IF(#REF!=4,H44+H45+H46+H47, 0)</f>
        <v>0</v>
      </c>
    </row>
    <row r="49" spans="1:26" ht="28.5" x14ac:dyDescent="0.25">
      <c r="A49" s="22">
        <v>2</v>
      </c>
      <c r="B49" s="22" t="str">
        <f>#REF!</f>
        <v>м10-02-016-06</v>
      </c>
      <c r="C49" s="22" t="str">
        <f>#REF!</f>
        <v>Отдельно устанавливаемый: преобразователь или блок питания</v>
      </c>
      <c r="D49" s="23" t="str">
        <f>#REF!</f>
        <v>ШТ</v>
      </c>
      <c r="E49" s="2">
        <f>#REF!</f>
        <v>15</v>
      </c>
      <c r="F49" s="14">
        <f>#REF!+#REF!+#REF!</f>
        <v>187.3</v>
      </c>
      <c r="G49" s="9"/>
      <c r="H49" s="14"/>
      <c r="I49" s="9" t="str">
        <f>#REF!</f>
        <v/>
      </c>
      <c r="J49" s="9"/>
      <c r="K49" s="14"/>
      <c r="L49" s="24"/>
      <c r="S49">
        <f>ROUND((#REF!/100)*((ROUND(#REF!*#REF!, 2)+ROUND(#REF!*#REF!, 2))), 2)</f>
        <v>1735.97</v>
      </c>
      <c r="T49">
        <f>#REF!</f>
        <v>61539.97</v>
      </c>
      <c r="U49">
        <f>ROUND((#REF!/100)*((ROUND(#REF!*#REF!, 2)+ROUND(#REF!*#REF!, 2))), 2)</f>
        <v>887.27</v>
      </c>
      <c r="V49">
        <f>#REF!</f>
        <v>31453.759999999998</v>
      </c>
    </row>
    <row r="50" spans="1:26" x14ac:dyDescent="0.25">
      <c r="A50" s="22"/>
      <c r="B50" s="22"/>
      <c r="C50" s="22" t="s">
        <v>38</v>
      </c>
      <c r="D50" s="23"/>
      <c r="E50" s="2"/>
      <c r="F50" s="14">
        <f>#REF!</f>
        <v>103.14</v>
      </c>
      <c r="G50" s="9" t="str">
        <f>#REF!</f>
        <v>)*1,2</v>
      </c>
      <c r="H50" s="14">
        <f>ROUND(#REF!*#REF!, 2)</f>
        <v>1856.55</v>
      </c>
      <c r="I50" s="9"/>
      <c r="J50" s="9">
        <f>IF(#REF!&lt;&gt; 0,#REF!, 1)</f>
        <v>35.450000000000003</v>
      </c>
      <c r="K50" s="14">
        <f>#REF!</f>
        <v>65814.7</v>
      </c>
      <c r="L50" s="24"/>
      <c r="R50">
        <f>H50</f>
        <v>1856.55</v>
      </c>
    </row>
    <row r="51" spans="1:26" x14ac:dyDescent="0.25">
      <c r="A51" s="22"/>
      <c r="B51" s="22"/>
      <c r="C51" s="22" t="s">
        <v>43</v>
      </c>
      <c r="D51" s="23"/>
      <c r="E51" s="2"/>
      <c r="F51" s="14">
        <f>#REF!</f>
        <v>36</v>
      </c>
      <c r="G51" s="9" t="str">
        <f>#REF!</f>
        <v>)*1,2</v>
      </c>
      <c r="H51" s="14">
        <f>ROUND(#REF!*#REF!, 2)</f>
        <v>648</v>
      </c>
      <c r="I51" s="9"/>
      <c r="J51" s="9">
        <f>IF(#REF!&lt;&gt; 0,#REF!, 1)</f>
        <v>12.14</v>
      </c>
      <c r="K51" s="14">
        <f>#REF!</f>
        <v>7866.72</v>
      </c>
      <c r="L51" s="24"/>
    </row>
    <row r="52" spans="1:26" x14ac:dyDescent="0.25">
      <c r="A52" s="22"/>
      <c r="B52" s="22"/>
      <c r="C52" s="22" t="s">
        <v>44</v>
      </c>
      <c r="D52" s="23"/>
      <c r="E52" s="2"/>
      <c r="F52" s="14">
        <f>#REF!</f>
        <v>4.0199999999999996</v>
      </c>
      <c r="G52" s="9" t="str">
        <f>#REF!</f>
        <v>)*1,2</v>
      </c>
      <c r="H52" s="38">
        <f>ROUND(#REF!*#REF!, 2)</f>
        <v>72.3</v>
      </c>
      <c r="I52" s="9"/>
      <c r="J52" s="9">
        <f>IF(#REF!&lt;&gt; 0,#REF!, 1)</f>
        <v>35.450000000000003</v>
      </c>
      <c r="K52" s="38">
        <f>#REF!</f>
        <v>2563.04</v>
      </c>
      <c r="L52" s="24"/>
      <c r="R52">
        <f>H52</f>
        <v>72.3</v>
      </c>
    </row>
    <row r="53" spans="1:26" x14ac:dyDescent="0.25">
      <c r="A53" s="22"/>
      <c r="B53" s="22"/>
      <c r="C53" s="22" t="s">
        <v>39</v>
      </c>
      <c r="D53" s="23"/>
      <c r="E53" s="2"/>
      <c r="F53" s="14">
        <f>#REF!</f>
        <v>48.16</v>
      </c>
      <c r="G53" s="9" t="str">
        <f>#REF!</f>
        <v/>
      </c>
      <c r="H53" s="14">
        <f>ROUND(#REF!*#REF!, 2)</f>
        <v>722.4</v>
      </c>
      <c r="I53" s="9"/>
      <c r="J53" s="9">
        <f>IF(#REF!&lt;&gt; 0,#REF!, 1)</f>
        <v>6.9</v>
      </c>
      <c r="K53" s="14">
        <f>#REF!</f>
        <v>4984.5600000000004</v>
      </c>
      <c r="L53" s="24"/>
    </row>
    <row r="54" spans="1:26" x14ac:dyDescent="0.25">
      <c r="A54" s="22"/>
      <c r="B54" s="22"/>
      <c r="C54" s="22" t="s">
        <v>40</v>
      </c>
      <c r="D54" s="23" t="s">
        <v>41</v>
      </c>
      <c r="E54" s="2">
        <f>#REF!</f>
        <v>90</v>
      </c>
      <c r="F54" s="25"/>
      <c r="G54" s="9"/>
      <c r="H54" s="14">
        <f>SUM(S49:S58)</f>
        <v>1735.97</v>
      </c>
      <c r="I54" s="26"/>
      <c r="J54" s="6">
        <f>#REF!</f>
        <v>90</v>
      </c>
      <c r="K54" s="14">
        <f>SUM(T49:T58)</f>
        <v>61539.97</v>
      </c>
      <c r="L54" s="24"/>
    </row>
    <row r="55" spans="1:26" x14ac:dyDescent="0.25">
      <c r="A55" s="22"/>
      <c r="B55" s="22"/>
      <c r="C55" s="22" t="s">
        <v>42</v>
      </c>
      <c r="D55" s="23" t="s">
        <v>41</v>
      </c>
      <c r="E55" s="2">
        <f>#REF!</f>
        <v>46</v>
      </c>
      <c r="F55" s="25"/>
      <c r="G55" s="9"/>
      <c r="H55" s="14">
        <f>SUM(U49:U58)</f>
        <v>887.27</v>
      </c>
      <c r="I55" s="26"/>
      <c r="J55" s="6">
        <f>#REF!</f>
        <v>46</v>
      </c>
      <c r="K55" s="14">
        <f>SUM(V49:V58)</f>
        <v>31453.759999999998</v>
      </c>
      <c r="L55" s="24"/>
    </row>
    <row r="56" spans="1:26" x14ac:dyDescent="0.25">
      <c r="A56" s="22"/>
      <c r="B56" s="22"/>
      <c r="C56" s="22" t="s">
        <v>45</v>
      </c>
      <c r="D56" s="23" t="s">
        <v>46</v>
      </c>
      <c r="E56" s="2">
        <f>#REF!</f>
        <v>9.3000000000000007</v>
      </c>
      <c r="F56" s="14"/>
      <c r="G56" s="9" t="str">
        <f>#REF!</f>
        <v>)*1,2</v>
      </c>
      <c r="H56" s="14"/>
      <c r="I56" s="9"/>
      <c r="J56" s="9"/>
      <c r="K56" s="14"/>
      <c r="L56" s="39">
        <f>#REF!</f>
        <v>167.4</v>
      </c>
    </row>
    <row r="57" spans="1:26" ht="57" x14ac:dyDescent="0.25">
      <c r="A57" s="22" t="s">
        <v>47</v>
      </c>
      <c r="B57" s="22" t="str">
        <f>#REF!</f>
        <v>УПД № СфМ196880 от 16.09.2022</v>
      </c>
      <c r="C57" s="22" t="s">
        <v>61</v>
      </c>
      <c r="D57" s="23" t="str">
        <f>#REF!</f>
        <v>компл.</v>
      </c>
      <c r="E57" s="2">
        <f>#REF!</f>
        <v>5</v>
      </c>
      <c r="F57" s="14">
        <f>#REF!+#REF!+#REF!</f>
        <v>3315</v>
      </c>
      <c r="G57" s="40" t="s">
        <v>37</v>
      </c>
      <c r="H57" s="14">
        <f>ROUND(#REF!*#REF!, 2)+ROUND(#REF!*#REF!, 2)+ROUND(#REF!*#REF!, 2)</f>
        <v>16575</v>
      </c>
      <c r="I57" s="9"/>
      <c r="J57" s="9">
        <f>IF(#REF!&lt;&gt; 0,#REF!, 1)</f>
        <v>6.9</v>
      </c>
      <c r="K57" s="14">
        <f>#REF!</f>
        <v>16575</v>
      </c>
      <c r="L57" s="24"/>
      <c r="S57">
        <f>ROUND((#REF!/100)*((ROUND(#REF!*#REF!, 2)+ROUND(#REF!*#REF!, 2))), 2)</f>
        <v>0</v>
      </c>
      <c r="T57">
        <f>#REF!</f>
        <v>0</v>
      </c>
      <c r="U57">
        <f>ROUND((#REF!/100)*((ROUND(#REF!*#REF!, 2)+ROUND(#REF!*#REF!, 2))), 2)</f>
        <v>0</v>
      </c>
      <c r="V57">
        <f>#REF!</f>
        <v>0</v>
      </c>
      <c r="W57">
        <f>IF(#REF!&lt;=1,H57, 0)</f>
        <v>0</v>
      </c>
      <c r="X57">
        <f>IF(#REF!=2,H57, 0)</f>
        <v>16575</v>
      </c>
      <c r="Y57">
        <f>IF(#REF!=3,H57, 0)</f>
        <v>0</v>
      </c>
      <c r="Z57">
        <f>IF(#REF!=4,H57, 0)</f>
        <v>0</v>
      </c>
    </row>
    <row r="58" spans="1:26" ht="57" x14ac:dyDescent="0.25">
      <c r="A58" s="27" t="s">
        <v>48</v>
      </c>
      <c r="B58" s="27" t="str">
        <f>#REF!</f>
        <v>УПД № СфМ196880 от 16.09.2022</v>
      </c>
      <c r="C58" s="27" t="s">
        <v>62</v>
      </c>
      <c r="D58" s="28" t="str">
        <f>#REF!</f>
        <v>компл.</v>
      </c>
      <c r="E58" s="29">
        <f>#REF!</f>
        <v>10</v>
      </c>
      <c r="F58" s="32">
        <f>#REF!+#REF!+#REF!</f>
        <v>694.16</v>
      </c>
      <c r="G58" s="41" t="s">
        <v>37</v>
      </c>
      <c r="H58" s="32">
        <f>ROUND(#REF!*#REF!, 2)+ROUND(#REF!*#REF!, 2)+ROUND(#REF!*#REF!, 2)</f>
        <v>6941.6</v>
      </c>
      <c r="I58" s="31"/>
      <c r="J58" s="31">
        <f>IF(#REF!&lt;&gt; 0,#REF!, 1)</f>
        <v>6.9</v>
      </c>
      <c r="K58" s="32">
        <f>#REF!</f>
        <v>6941.6</v>
      </c>
      <c r="L58" s="35"/>
      <c r="S58">
        <f>ROUND((#REF!/100)*((ROUND(#REF!*#REF!, 2)+ROUND(#REF!*#REF!, 2))), 2)</f>
        <v>0</v>
      </c>
      <c r="T58">
        <f>#REF!</f>
        <v>0</v>
      </c>
      <c r="U58">
        <f>ROUND((#REF!/100)*((ROUND(#REF!*#REF!, 2)+ROUND(#REF!*#REF!, 2))), 2)</f>
        <v>0</v>
      </c>
      <c r="V58">
        <f>#REF!</f>
        <v>0</v>
      </c>
      <c r="W58">
        <f>IF(#REF!&lt;=1,H58, 0)</f>
        <v>0</v>
      </c>
      <c r="X58">
        <f>IF(#REF!=2,H58, 0)</f>
        <v>6941.6</v>
      </c>
      <c r="Y58">
        <f>IF(#REF!=3,H58, 0)</f>
        <v>0</v>
      </c>
      <c r="Z58">
        <f>IF(#REF!=4,H58, 0)</f>
        <v>0</v>
      </c>
    </row>
    <row r="59" spans="1:26" x14ac:dyDescent="0.25">
      <c r="G59" s="53">
        <f>H50+H51+H53+H54+H55+SUM(H57:H58)</f>
        <v>29366.79</v>
      </c>
      <c r="H59" s="53"/>
      <c r="J59" s="53">
        <f>K50+K51+K53+K54+K55+SUM(K57:K58)</f>
        <v>195176.31000000003</v>
      </c>
      <c r="K59" s="53"/>
      <c r="L59" s="36">
        <f>#REF!</f>
        <v>167.4</v>
      </c>
      <c r="O59" s="37">
        <f>G59</f>
        <v>29366.79</v>
      </c>
      <c r="P59" s="37">
        <f>J59</f>
        <v>195176.31000000003</v>
      </c>
      <c r="Q59" s="37">
        <f>L59</f>
        <v>167.4</v>
      </c>
      <c r="W59">
        <f>IF(#REF!&lt;=1,H50+H51+H53+H54+H55, 0)</f>
        <v>0</v>
      </c>
      <c r="X59">
        <f>IF(#REF!=2,H50+H51+H53+H54+H55, 0)</f>
        <v>5850.1900000000005</v>
      </c>
      <c r="Y59">
        <f>IF(#REF!=3,H50+H51+H53+H54+H55, 0)</f>
        <v>0</v>
      </c>
      <c r="Z59">
        <f>IF(#REF!=4,H50+H51+H53+H54+H55, 0)</f>
        <v>0</v>
      </c>
    </row>
    <row r="60" spans="1:26" ht="85.5" x14ac:dyDescent="0.25">
      <c r="A60" s="22">
        <v>3</v>
      </c>
      <c r="B60" s="22" t="str">
        <f>#REF!</f>
        <v>м08-01-081-01</v>
      </c>
      <c r="C60" s="22" t="str">
        <f>#REF!</f>
        <v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v>
      </c>
      <c r="D60" s="23" t="str">
        <f>#REF!</f>
        <v>ШТ</v>
      </c>
      <c r="E60" s="2">
        <f>#REF!</f>
        <v>2</v>
      </c>
      <c r="F60" s="14">
        <f>#REF!+#REF!+#REF!</f>
        <v>16.079999999999998</v>
      </c>
      <c r="G60" s="9"/>
      <c r="H60" s="14"/>
      <c r="I60" s="9" t="str">
        <f>#REF!</f>
        <v/>
      </c>
      <c r="J60" s="9"/>
      <c r="K60" s="14"/>
      <c r="L60" s="24"/>
      <c r="S60">
        <f>ROUND((#REF!/100)*((ROUND(#REF!*#REF!, 2)+ROUND(#REF!*#REF!, 2))), 2)</f>
        <v>24.83</v>
      </c>
      <c r="T60">
        <f>#REF!</f>
        <v>880.29</v>
      </c>
      <c r="U60">
        <f>ROUND((#REF!/100)*((ROUND(#REF!*#REF!, 2)+ROUND(#REF!*#REF!, 2))), 2)</f>
        <v>13.06</v>
      </c>
      <c r="V60">
        <f>#REF!</f>
        <v>462.84</v>
      </c>
    </row>
    <row r="61" spans="1:26" x14ac:dyDescent="0.25">
      <c r="A61" s="22"/>
      <c r="B61" s="22"/>
      <c r="C61" s="22" t="s">
        <v>38</v>
      </c>
      <c r="D61" s="23"/>
      <c r="E61" s="2"/>
      <c r="F61" s="14">
        <f>#REF!</f>
        <v>9.91</v>
      </c>
      <c r="G61" s="9" t="str">
        <f>#REF!</f>
        <v>)*1,2</v>
      </c>
      <c r="H61" s="14">
        <f>ROUND(#REF!*#REF!, 2)</f>
        <v>23.78</v>
      </c>
      <c r="I61" s="9"/>
      <c r="J61" s="9">
        <f>IF(#REF!&lt;&gt; 0,#REF!, 1)</f>
        <v>35.450000000000003</v>
      </c>
      <c r="K61" s="14">
        <f>#REF!</f>
        <v>843</v>
      </c>
      <c r="L61" s="24"/>
      <c r="R61">
        <f>H61</f>
        <v>23.78</v>
      </c>
    </row>
    <row r="62" spans="1:26" x14ac:dyDescent="0.25">
      <c r="A62" s="22"/>
      <c r="B62" s="22"/>
      <c r="C62" s="22" t="s">
        <v>43</v>
      </c>
      <c r="D62" s="23"/>
      <c r="E62" s="2"/>
      <c r="F62" s="14">
        <f>#REF!</f>
        <v>5.43</v>
      </c>
      <c r="G62" s="9" t="str">
        <f>#REF!</f>
        <v>)*1,2</v>
      </c>
      <c r="H62" s="14">
        <f>ROUND(#REF!*#REF!, 2)</f>
        <v>13.02</v>
      </c>
      <c r="I62" s="9"/>
      <c r="J62" s="9">
        <f>IF(#REF!&lt;&gt; 0,#REF!, 1)</f>
        <v>12.14</v>
      </c>
      <c r="K62" s="14">
        <f>#REF!</f>
        <v>158.06</v>
      </c>
      <c r="L62" s="24"/>
    </row>
    <row r="63" spans="1:26" x14ac:dyDescent="0.25">
      <c r="A63" s="22"/>
      <c r="B63" s="22"/>
      <c r="C63" s="22" t="s">
        <v>44</v>
      </c>
      <c r="D63" s="23"/>
      <c r="E63" s="2"/>
      <c r="F63" s="14">
        <f>#REF!</f>
        <v>0.76</v>
      </c>
      <c r="G63" s="9" t="str">
        <f>#REF!</f>
        <v>)*1,2</v>
      </c>
      <c r="H63" s="38">
        <f>ROUND(#REF!*#REF!, 2)</f>
        <v>1.82</v>
      </c>
      <c r="I63" s="9"/>
      <c r="J63" s="9">
        <f>IF(#REF!&lt;&gt; 0,#REF!, 1)</f>
        <v>35.450000000000003</v>
      </c>
      <c r="K63" s="38">
        <f>#REF!</f>
        <v>64.52</v>
      </c>
      <c r="L63" s="24"/>
      <c r="R63">
        <f>H63</f>
        <v>1.82</v>
      </c>
    </row>
    <row r="64" spans="1:26" x14ac:dyDescent="0.25">
      <c r="A64" s="22"/>
      <c r="B64" s="22"/>
      <c r="C64" s="22" t="s">
        <v>39</v>
      </c>
      <c r="D64" s="23"/>
      <c r="E64" s="2"/>
      <c r="F64" s="14">
        <f>#REF!</f>
        <v>0.74</v>
      </c>
      <c r="G64" s="9" t="str">
        <f>#REF!</f>
        <v/>
      </c>
      <c r="H64" s="14">
        <f>ROUND(#REF!*#REF!, 2)</f>
        <v>1.48</v>
      </c>
      <c r="I64" s="9"/>
      <c r="J64" s="9">
        <f>IF(#REF!&lt;&gt; 0,#REF!, 1)</f>
        <v>6.9</v>
      </c>
      <c r="K64" s="14">
        <f>#REF!</f>
        <v>10.210000000000001</v>
      </c>
      <c r="L64" s="24"/>
    </row>
    <row r="65" spans="1:26" x14ac:dyDescent="0.25">
      <c r="A65" s="22"/>
      <c r="B65" s="22"/>
      <c r="C65" s="22" t="s">
        <v>40</v>
      </c>
      <c r="D65" s="23" t="s">
        <v>41</v>
      </c>
      <c r="E65" s="2">
        <f>#REF!</f>
        <v>97</v>
      </c>
      <c r="F65" s="25"/>
      <c r="G65" s="9"/>
      <c r="H65" s="14">
        <f>SUM(S60:S69)</f>
        <v>24.83</v>
      </c>
      <c r="I65" s="26"/>
      <c r="J65" s="6">
        <f>#REF!</f>
        <v>97</v>
      </c>
      <c r="K65" s="14">
        <f>SUM(T60:T69)</f>
        <v>880.29</v>
      </c>
      <c r="L65" s="24"/>
    </row>
    <row r="66" spans="1:26" x14ac:dyDescent="0.25">
      <c r="A66" s="22"/>
      <c r="B66" s="22"/>
      <c r="C66" s="22" t="s">
        <v>42</v>
      </c>
      <c r="D66" s="23" t="s">
        <v>41</v>
      </c>
      <c r="E66" s="2">
        <f>#REF!</f>
        <v>51</v>
      </c>
      <c r="F66" s="25"/>
      <c r="G66" s="9"/>
      <c r="H66" s="14">
        <f>SUM(U60:U69)</f>
        <v>13.06</v>
      </c>
      <c r="I66" s="26"/>
      <c r="J66" s="6">
        <f>#REF!</f>
        <v>51</v>
      </c>
      <c r="K66" s="14">
        <f>SUM(V60:V69)</f>
        <v>462.84</v>
      </c>
      <c r="L66" s="24"/>
    </row>
    <row r="67" spans="1:26" x14ac:dyDescent="0.25">
      <c r="A67" s="22"/>
      <c r="B67" s="22"/>
      <c r="C67" s="22" t="s">
        <v>45</v>
      </c>
      <c r="D67" s="23" t="s">
        <v>46</v>
      </c>
      <c r="E67" s="2">
        <f>#REF!</f>
        <v>1.03</v>
      </c>
      <c r="F67" s="14"/>
      <c r="G67" s="9" t="str">
        <f>#REF!</f>
        <v>)*1,2</v>
      </c>
      <c r="H67" s="14"/>
      <c r="I67" s="9"/>
      <c r="J67" s="9"/>
      <c r="K67" s="14"/>
      <c r="L67" s="39">
        <f>#REF!</f>
        <v>2.472</v>
      </c>
    </row>
    <row r="68" spans="1:26" ht="57" x14ac:dyDescent="0.25">
      <c r="A68" s="22" t="s">
        <v>49</v>
      </c>
      <c r="B68" s="22" t="str">
        <f>#REF!</f>
        <v>УПД № СфМ196880 от 16.09.2022</v>
      </c>
      <c r="C68" s="22" t="s">
        <v>63</v>
      </c>
      <c r="D68" s="23" t="str">
        <f>#REF!</f>
        <v>ШТ</v>
      </c>
      <c r="E68" s="2">
        <f>#REF!</f>
        <v>1</v>
      </c>
      <c r="F68" s="14">
        <f>#REF!+#REF!+#REF!</f>
        <v>612</v>
      </c>
      <c r="G68" s="40" t="s">
        <v>37</v>
      </c>
      <c r="H68" s="14">
        <f>ROUND(#REF!*#REF!, 2)+ROUND(#REF!*#REF!, 2)+ROUND(#REF!*#REF!, 2)</f>
        <v>612</v>
      </c>
      <c r="I68" s="9"/>
      <c r="J68" s="9">
        <f>IF(#REF!&lt;&gt; 0,#REF!, 1)</f>
        <v>6.9</v>
      </c>
      <c r="K68" s="14">
        <f>#REF!</f>
        <v>612</v>
      </c>
      <c r="L68" s="24"/>
      <c r="S68">
        <f>ROUND((#REF!/100)*((ROUND(#REF!*#REF!, 2)+ROUND(#REF!*#REF!, 2))), 2)</f>
        <v>0</v>
      </c>
      <c r="T68">
        <f>#REF!</f>
        <v>0</v>
      </c>
      <c r="U68">
        <f>ROUND((#REF!/100)*((ROUND(#REF!*#REF!, 2)+ROUND(#REF!*#REF!, 2))), 2)</f>
        <v>0</v>
      </c>
      <c r="V68">
        <f>#REF!</f>
        <v>0</v>
      </c>
      <c r="W68">
        <f>IF(#REF!&lt;=1,H68, 0)</f>
        <v>0</v>
      </c>
      <c r="X68">
        <f>IF(#REF!=2,H68, 0)</f>
        <v>612</v>
      </c>
      <c r="Y68">
        <f>IF(#REF!=3,H68, 0)</f>
        <v>0</v>
      </c>
      <c r="Z68">
        <f>IF(#REF!=4,H68, 0)</f>
        <v>0</v>
      </c>
    </row>
    <row r="69" spans="1:26" ht="57" x14ac:dyDescent="0.25">
      <c r="A69" s="27" t="s">
        <v>50</v>
      </c>
      <c r="B69" s="27" t="str">
        <f>#REF!</f>
        <v>УПД № СфМ196880 от 16.09.2022</v>
      </c>
      <c r="C69" s="27" t="s">
        <v>64</v>
      </c>
      <c r="D69" s="28" t="str">
        <f>#REF!</f>
        <v>ШТ</v>
      </c>
      <c r="E69" s="29">
        <f>#REF!</f>
        <v>1</v>
      </c>
      <c r="F69" s="32">
        <f>#REF!+#REF!+#REF!</f>
        <v>561</v>
      </c>
      <c r="G69" s="41" t="s">
        <v>37</v>
      </c>
      <c r="H69" s="32">
        <f>ROUND(#REF!*#REF!, 2)+ROUND(#REF!*#REF!, 2)+ROUND(#REF!*#REF!, 2)</f>
        <v>561</v>
      </c>
      <c r="I69" s="31"/>
      <c r="J69" s="31">
        <f>IF(#REF!&lt;&gt; 0,#REF!, 1)</f>
        <v>6.9</v>
      </c>
      <c r="K69" s="32">
        <f>#REF!</f>
        <v>561</v>
      </c>
      <c r="L69" s="35"/>
      <c r="S69">
        <f>ROUND((#REF!/100)*((ROUND(#REF!*#REF!, 2)+ROUND(#REF!*#REF!, 2))), 2)</f>
        <v>0</v>
      </c>
      <c r="T69">
        <f>#REF!</f>
        <v>0</v>
      </c>
      <c r="U69">
        <f>ROUND((#REF!/100)*((ROUND(#REF!*#REF!, 2)+ROUND(#REF!*#REF!, 2))), 2)</f>
        <v>0</v>
      </c>
      <c r="V69">
        <f>#REF!</f>
        <v>0</v>
      </c>
      <c r="W69">
        <f>IF(#REF!&lt;=1,H69, 0)</f>
        <v>0</v>
      </c>
      <c r="X69">
        <f>IF(#REF!=2,H69, 0)</f>
        <v>561</v>
      </c>
      <c r="Y69">
        <f>IF(#REF!=3,H69, 0)</f>
        <v>0</v>
      </c>
      <c r="Z69">
        <f>IF(#REF!=4,H69, 0)</f>
        <v>0</v>
      </c>
    </row>
    <row r="70" spans="1:26" x14ac:dyDescent="0.25">
      <c r="G70" s="53">
        <f>H61+H62+H64+H65+H66+SUM(H68:H69)</f>
        <v>1249.17</v>
      </c>
      <c r="H70" s="53"/>
      <c r="J70" s="53">
        <f>K61+K62+K64+K65+K66+SUM(K68:K69)</f>
        <v>3527.4</v>
      </c>
      <c r="K70" s="53"/>
      <c r="L70" s="36">
        <f>#REF!</f>
        <v>2.472</v>
      </c>
      <c r="O70" s="37">
        <f>G70</f>
        <v>1249.17</v>
      </c>
      <c r="P70" s="37">
        <f>J70</f>
        <v>3527.4</v>
      </c>
      <c r="Q70" s="37">
        <f>L70</f>
        <v>2.472</v>
      </c>
      <c r="W70">
        <f>IF(#REF!&lt;=1,H61+H62+H64+H65+H66, 0)</f>
        <v>0</v>
      </c>
      <c r="X70">
        <f>IF(#REF!=2,H61+H62+H64+H65+H66, 0)</f>
        <v>76.169999999999987</v>
      </c>
      <c r="Y70">
        <f>IF(#REF!=3,H61+H62+H64+H65+H66, 0)</f>
        <v>0</v>
      </c>
      <c r="Z70">
        <f>IF(#REF!=4,H61+H62+H64+H65+H66, 0)</f>
        <v>0</v>
      </c>
    </row>
    <row r="71" spans="1:26" ht="28.5" x14ac:dyDescent="0.25">
      <c r="A71" s="22">
        <v>4</v>
      </c>
      <c r="B71" s="22" t="str">
        <f>#REF!</f>
        <v>м08-03-591-03</v>
      </c>
      <c r="C71" s="22" t="str">
        <f>#REF!</f>
        <v>Выключатель: полугерметический и герметический</v>
      </c>
      <c r="D71" s="23" t="str">
        <f>#REF!</f>
        <v>100 ШТ</v>
      </c>
      <c r="E71" s="2">
        <f>#REF!</f>
        <v>0.02</v>
      </c>
      <c r="F71" s="14">
        <f>#REF!+#REF!+#REF!</f>
        <v>773.5</v>
      </c>
      <c r="G71" s="9"/>
      <c r="H71" s="14"/>
      <c r="I71" s="9" t="str">
        <f>#REF!</f>
        <v/>
      </c>
      <c r="J71" s="9"/>
      <c r="K71" s="14"/>
      <c r="L71" s="24"/>
      <c r="S71">
        <f>ROUND((#REF!/100)*((ROUND(#REF!*#REF!, 2)+ROUND(#REF!*#REF!, 2))), 2)</f>
        <v>14.08</v>
      </c>
      <c r="T71">
        <f>#REF!</f>
        <v>499</v>
      </c>
      <c r="U71">
        <f>ROUND((#REF!/100)*((ROUND(#REF!*#REF!, 2)+ROUND(#REF!*#REF!, 2))), 2)</f>
        <v>7.41</v>
      </c>
      <c r="V71">
        <f>#REF!</f>
        <v>262.36</v>
      </c>
    </row>
    <row r="72" spans="1:26" x14ac:dyDescent="0.25">
      <c r="C72" s="42" t="str">
        <f>"Объем: "&amp;#REF!&amp;"=2/"&amp;"100"</f>
        <v>Объем: 0,02=2/100</v>
      </c>
    </row>
    <row r="73" spans="1:26" x14ac:dyDescent="0.25">
      <c r="A73" s="22"/>
      <c r="B73" s="22"/>
      <c r="C73" s="22" t="s">
        <v>38</v>
      </c>
      <c r="D73" s="23"/>
      <c r="E73" s="2"/>
      <c r="F73" s="14">
        <f>#REF!</f>
        <v>603.14</v>
      </c>
      <c r="G73" s="9" t="str">
        <f>#REF!</f>
        <v>)*1,2</v>
      </c>
      <c r="H73" s="14">
        <f>ROUND(#REF!*#REF!, 2)</f>
        <v>14.48</v>
      </c>
      <c r="I73" s="9"/>
      <c r="J73" s="9">
        <f>IF(#REF!&lt;&gt; 0,#REF!, 1)</f>
        <v>35.450000000000003</v>
      </c>
      <c r="K73" s="14">
        <f>#REF!</f>
        <v>513.15</v>
      </c>
      <c r="L73" s="24"/>
      <c r="R73">
        <f>H73</f>
        <v>14.48</v>
      </c>
    </row>
    <row r="74" spans="1:26" x14ac:dyDescent="0.25">
      <c r="A74" s="22"/>
      <c r="B74" s="22"/>
      <c r="C74" s="22" t="s">
        <v>43</v>
      </c>
      <c r="D74" s="23"/>
      <c r="E74" s="2"/>
      <c r="F74" s="14">
        <f>#REF!</f>
        <v>34.92</v>
      </c>
      <c r="G74" s="9" t="str">
        <f>#REF!</f>
        <v>)*1,2</v>
      </c>
      <c r="H74" s="14">
        <f>ROUND(#REF!*#REF!, 2)</f>
        <v>0.84</v>
      </c>
      <c r="I74" s="9"/>
      <c r="J74" s="9">
        <f>IF(#REF!&lt;&gt; 0,#REF!, 1)</f>
        <v>12.14</v>
      </c>
      <c r="K74" s="14">
        <f>#REF!</f>
        <v>10.17</v>
      </c>
      <c r="L74" s="24"/>
    </row>
    <row r="75" spans="1:26" x14ac:dyDescent="0.25">
      <c r="A75" s="22"/>
      <c r="B75" s="22"/>
      <c r="C75" s="22" t="s">
        <v>44</v>
      </c>
      <c r="D75" s="23"/>
      <c r="E75" s="2"/>
      <c r="F75" s="14">
        <f>#REF!</f>
        <v>1.51</v>
      </c>
      <c r="G75" s="9" t="str">
        <f>#REF!</f>
        <v>)*1,2</v>
      </c>
      <c r="H75" s="38">
        <f>ROUND(#REF!*#REF!, 2)</f>
        <v>0.04</v>
      </c>
      <c r="I75" s="9"/>
      <c r="J75" s="9">
        <f>IF(#REF!&lt;&gt; 0,#REF!, 1)</f>
        <v>35.450000000000003</v>
      </c>
      <c r="K75" s="38">
        <f>#REF!</f>
        <v>1.28</v>
      </c>
      <c r="L75" s="24"/>
      <c r="R75">
        <f>H75</f>
        <v>0.04</v>
      </c>
    </row>
    <row r="76" spans="1:26" x14ac:dyDescent="0.25">
      <c r="A76" s="22"/>
      <c r="B76" s="22"/>
      <c r="C76" s="22" t="s">
        <v>39</v>
      </c>
      <c r="D76" s="23"/>
      <c r="E76" s="2"/>
      <c r="F76" s="14">
        <f>#REF!</f>
        <v>135.44</v>
      </c>
      <c r="G76" s="9" t="str">
        <f>#REF!</f>
        <v/>
      </c>
      <c r="H76" s="14">
        <f>ROUND(#REF!*#REF!, 2)</f>
        <v>2.71</v>
      </c>
      <c r="I76" s="9"/>
      <c r="J76" s="9">
        <f>IF(#REF!&lt;&gt; 0,#REF!, 1)</f>
        <v>6.9</v>
      </c>
      <c r="K76" s="14">
        <f>#REF!</f>
        <v>18.690000000000001</v>
      </c>
      <c r="L76" s="24"/>
    </row>
    <row r="77" spans="1:26" x14ac:dyDescent="0.25">
      <c r="A77" s="22"/>
      <c r="B77" s="22"/>
      <c r="C77" s="22" t="s">
        <v>40</v>
      </c>
      <c r="D77" s="23" t="s">
        <v>41</v>
      </c>
      <c r="E77" s="2">
        <f>#REF!</f>
        <v>97</v>
      </c>
      <c r="F77" s="25"/>
      <c r="G77" s="9"/>
      <c r="H77" s="14">
        <f>SUM(S71:S80)</f>
        <v>14.08</v>
      </c>
      <c r="I77" s="26"/>
      <c r="J77" s="6">
        <f>#REF!</f>
        <v>97</v>
      </c>
      <c r="K77" s="14">
        <f>SUM(T71:T80)</f>
        <v>499</v>
      </c>
      <c r="L77" s="24"/>
    </row>
    <row r="78" spans="1:26" x14ac:dyDescent="0.25">
      <c r="A78" s="22"/>
      <c r="B78" s="22"/>
      <c r="C78" s="22" t="s">
        <v>42</v>
      </c>
      <c r="D78" s="23" t="s">
        <v>41</v>
      </c>
      <c r="E78" s="2">
        <f>#REF!</f>
        <v>51</v>
      </c>
      <c r="F78" s="25"/>
      <c r="G78" s="9"/>
      <c r="H78" s="14">
        <f>SUM(U71:U80)</f>
        <v>7.41</v>
      </c>
      <c r="I78" s="26"/>
      <c r="J78" s="6">
        <f>#REF!</f>
        <v>51</v>
      </c>
      <c r="K78" s="14">
        <f>SUM(V71:V80)</f>
        <v>262.36</v>
      </c>
      <c r="L78" s="24"/>
    </row>
    <row r="79" spans="1:26" x14ac:dyDescent="0.25">
      <c r="A79" s="22"/>
      <c r="B79" s="22"/>
      <c r="C79" s="22" t="s">
        <v>45</v>
      </c>
      <c r="D79" s="23" t="s">
        <v>46</v>
      </c>
      <c r="E79" s="2">
        <f>#REF!</f>
        <v>60.8</v>
      </c>
      <c r="F79" s="14"/>
      <c r="G79" s="9" t="str">
        <f>#REF!</f>
        <v>)*1,2</v>
      </c>
      <c r="H79" s="14"/>
      <c r="I79" s="9"/>
      <c r="J79" s="9"/>
      <c r="K79" s="14"/>
      <c r="L79" s="39">
        <f>#REF!</f>
        <v>1.4591999999999998</v>
      </c>
    </row>
    <row r="80" spans="1:26" ht="55.5" x14ac:dyDescent="0.25">
      <c r="A80" s="27" t="s">
        <v>51</v>
      </c>
      <c r="B80" s="27" t="str">
        <f>#REF!</f>
        <v>УПД № 5637 от 03.10.2022</v>
      </c>
      <c r="C80" s="27" t="s">
        <v>65</v>
      </c>
      <c r="D80" s="28" t="str">
        <f>#REF!</f>
        <v>ШТ</v>
      </c>
      <c r="E80" s="29">
        <f>#REF!</f>
        <v>2</v>
      </c>
      <c r="F80" s="32">
        <f>#REF!+#REF!+#REF!</f>
        <v>420.75</v>
      </c>
      <c r="G80" s="41" t="s">
        <v>37</v>
      </c>
      <c r="H80" s="32">
        <f>ROUND(#REF!*#REF!, 2)+ROUND(#REF!*#REF!, 2)+ROUND(#REF!*#REF!, 2)</f>
        <v>841.5</v>
      </c>
      <c r="I80" s="31"/>
      <c r="J80" s="31">
        <f>IF(#REF!&lt;&gt; 0,#REF!, 1)</f>
        <v>6.9</v>
      </c>
      <c r="K80" s="32">
        <f>#REF!</f>
        <v>841.5</v>
      </c>
      <c r="L80" s="35"/>
      <c r="S80">
        <f>ROUND((#REF!/100)*((ROUND(#REF!*#REF!, 2)+ROUND(#REF!*#REF!, 2))), 2)</f>
        <v>0</v>
      </c>
      <c r="T80">
        <f>#REF!</f>
        <v>0</v>
      </c>
      <c r="U80">
        <f>ROUND((#REF!/100)*((ROUND(#REF!*#REF!, 2)+ROUND(#REF!*#REF!, 2))), 2)</f>
        <v>0</v>
      </c>
      <c r="V80">
        <f>#REF!</f>
        <v>0</v>
      </c>
      <c r="W80">
        <f>IF(#REF!&lt;=1,H80, 0)</f>
        <v>0</v>
      </c>
      <c r="X80">
        <f>IF(#REF!=2,H80, 0)</f>
        <v>841.5</v>
      </c>
      <c r="Y80">
        <f>IF(#REF!=3,H80, 0)</f>
        <v>0</v>
      </c>
      <c r="Z80">
        <f>IF(#REF!=4,H80, 0)</f>
        <v>0</v>
      </c>
    </row>
    <row r="81" spans="1:26" x14ac:dyDescent="0.25">
      <c r="G81" s="53">
        <f>H73+H74+H76+H77+H78+SUM(H80:H80)</f>
        <v>881.02</v>
      </c>
      <c r="H81" s="53"/>
      <c r="J81" s="53">
        <f>K73+K74+K76+K77+K78+SUM(K80:K80)</f>
        <v>2144.87</v>
      </c>
      <c r="K81" s="53"/>
      <c r="L81" s="36">
        <f>#REF!</f>
        <v>1.4591999999999998</v>
      </c>
      <c r="O81" s="37">
        <f>G81</f>
        <v>881.02</v>
      </c>
      <c r="P81" s="37">
        <f>J81</f>
        <v>2144.87</v>
      </c>
      <c r="Q81" s="37">
        <f>L81</f>
        <v>1.4591999999999998</v>
      </c>
      <c r="W81">
        <f>IF(#REF!&lt;=1,H73+H74+H76+H77+H78, 0)</f>
        <v>0</v>
      </c>
      <c r="X81">
        <f>IF(#REF!=2,H73+H74+H76+H77+H78, 0)</f>
        <v>39.519999999999996</v>
      </c>
      <c r="Y81">
        <f>IF(#REF!=3,H73+H74+H76+H77+H78, 0)</f>
        <v>0</v>
      </c>
      <c r="Z81">
        <f>IF(#REF!=4,H73+H74+H76+H77+H78, 0)</f>
        <v>0</v>
      </c>
    </row>
    <row r="82" spans="1:26" ht="28.5" x14ac:dyDescent="0.25">
      <c r="A82" s="22">
        <v>5</v>
      </c>
      <c r="B82" s="22" t="str">
        <f>#REF!</f>
        <v>м08-03-591-10</v>
      </c>
      <c r="C82" s="22" t="str">
        <f>#REF!</f>
        <v>Розетка штепсельная: полугерметическая и герметическая</v>
      </c>
      <c r="D82" s="23" t="str">
        <f>#REF!</f>
        <v>100 ШТ</v>
      </c>
      <c r="E82" s="2">
        <f>#REF!</f>
        <v>0.02</v>
      </c>
      <c r="F82" s="14">
        <f>#REF!+#REF!+#REF!</f>
        <v>770.61999999999989</v>
      </c>
      <c r="G82" s="9"/>
      <c r="H82" s="14"/>
      <c r="I82" s="9" t="str">
        <f>#REF!</f>
        <v/>
      </c>
      <c r="J82" s="9"/>
      <c r="K82" s="14"/>
      <c r="L82" s="24"/>
      <c r="S82">
        <f>ROUND((#REF!/100)*((ROUND(#REF!*#REF!, 2)+ROUND(#REF!*#REF!, 2))), 2)</f>
        <v>14.1</v>
      </c>
      <c r="T82">
        <f>#REF!</f>
        <v>500.07</v>
      </c>
      <c r="U82">
        <f>ROUND((#REF!/100)*((ROUND(#REF!*#REF!, 2)+ROUND(#REF!*#REF!, 2))), 2)</f>
        <v>7.42</v>
      </c>
      <c r="V82">
        <f>#REF!</f>
        <v>262.93</v>
      </c>
    </row>
    <row r="83" spans="1:26" x14ac:dyDescent="0.25">
      <c r="C83" s="42" t="str">
        <f>"Объем: "&amp;#REF!&amp;"=2/"&amp;"100"</f>
        <v>Объем: 0,02=2/100</v>
      </c>
    </row>
    <row r="84" spans="1:26" x14ac:dyDescent="0.25">
      <c r="A84" s="22"/>
      <c r="B84" s="22"/>
      <c r="C84" s="22" t="s">
        <v>38</v>
      </c>
      <c r="D84" s="23"/>
      <c r="E84" s="2"/>
      <c r="F84" s="14">
        <f>#REF!</f>
        <v>603.92999999999995</v>
      </c>
      <c r="G84" s="9" t="str">
        <f>#REF!</f>
        <v>)*1,2</v>
      </c>
      <c r="H84" s="14">
        <f>ROUND(#REF!*#REF!, 2)</f>
        <v>14.49</v>
      </c>
      <c r="I84" s="9"/>
      <c r="J84" s="9">
        <f>IF(#REF!&lt;&gt; 0,#REF!, 1)</f>
        <v>35.450000000000003</v>
      </c>
      <c r="K84" s="14">
        <f>#REF!</f>
        <v>513.83000000000004</v>
      </c>
      <c r="L84" s="24"/>
      <c r="R84">
        <f>H84</f>
        <v>14.49</v>
      </c>
    </row>
    <row r="85" spans="1:26" x14ac:dyDescent="0.25">
      <c r="A85" s="22"/>
      <c r="B85" s="22"/>
      <c r="C85" s="22" t="s">
        <v>43</v>
      </c>
      <c r="D85" s="23"/>
      <c r="E85" s="2"/>
      <c r="F85" s="14">
        <f>#REF!</f>
        <v>38.549999999999997</v>
      </c>
      <c r="G85" s="9" t="str">
        <f>#REF!</f>
        <v>)*1,2</v>
      </c>
      <c r="H85" s="14">
        <f>ROUND(#REF!*#REF!, 2)</f>
        <v>0.93</v>
      </c>
      <c r="I85" s="9"/>
      <c r="J85" s="9">
        <f>IF(#REF!&lt;&gt; 0,#REF!, 1)</f>
        <v>12.14</v>
      </c>
      <c r="K85" s="14">
        <f>#REF!</f>
        <v>11.23</v>
      </c>
      <c r="L85" s="24"/>
    </row>
    <row r="86" spans="1:26" x14ac:dyDescent="0.25">
      <c r="A86" s="22"/>
      <c r="B86" s="22"/>
      <c r="C86" s="22" t="s">
        <v>44</v>
      </c>
      <c r="D86" s="23"/>
      <c r="E86" s="2"/>
      <c r="F86" s="14">
        <f>#REF!</f>
        <v>2.0099999999999998</v>
      </c>
      <c r="G86" s="9" t="str">
        <f>#REF!</f>
        <v>)*1,2</v>
      </c>
      <c r="H86" s="38">
        <f>ROUND(#REF!*#REF!, 2)</f>
        <v>0.05</v>
      </c>
      <c r="I86" s="9"/>
      <c r="J86" s="9">
        <f>IF(#REF!&lt;&gt; 0,#REF!, 1)</f>
        <v>35.450000000000003</v>
      </c>
      <c r="K86" s="38">
        <f>#REF!</f>
        <v>1.71</v>
      </c>
      <c r="L86" s="24"/>
      <c r="R86">
        <f>H86</f>
        <v>0.05</v>
      </c>
    </row>
    <row r="87" spans="1:26" x14ac:dyDescent="0.25">
      <c r="A87" s="22"/>
      <c r="B87" s="22"/>
      <c r="C87" s="22" t="s">
        <v>39</v>
      </c>
      <c r="D87" s="23"/>
      <c r="E87" s="2"/>
      <c r="F87" s="14">
        <f>#REF!</f>
        <v>128.13999999999999</v>
      </c>
      <c r="G87" s="9" t="str">
        <f>#REF!</f>
        <v/>
      </c>
      <c r="H87" s="14">
        <f>ROUND(#REF!*#REF!, 2)</f>
        <v>2.56</v>
      </c>
      <c r="I87" s="9"/>
      <c r="J87" s="9">
        <f>IF(#REF!&lt;&gt; 0,#REF!, 1)</f>
        <v>6.9</v>
      </c>
      <c r="K87" s="14">
        <f>#REF!</f>
        <v>17.68</v>
      </c>
      <c r="L87" s="24"/>
    </row>
    <row r="88" spans="1:26" x14ac:dyDescent="0.25">
      <c r="A88" s="22"/>
      <c r="B88" s="22"/>
      <c r="C88" s="22" t="s">
        <v>40</v>
      </c>
      <c r="D88" s="23" t="s">
        <v>41</v>
      </c>
      <c r="E88" s="2">
        <f>#REF!</f>
        <v>97</v>
      </c>
      <c r="F88" s="25"/>
      <c r="G88" s="9"/>
      <c r="H88" s="14">
        <f>SUM(S82:S94)</f>
        <v>14.1</v>
      </c>
      <c r="I88" s="26"/>
      <c r="J88" s="6">
        <f>#REF!</f>
        <v>97</v>
      </c>
      <c r="K88" s="14">
        <f>SUM(T82:T94)</f>
        <v>500.07</v>
      </c>
      <c r="L88" s="24"/>
    </row>
    <row r="89" spans="1:26" x14ac:dyDescent="0.25">
      <c r="A89" s="22"/>
      <c r="B89" s="22"/>
      <c r="C89" s="22" t="s">
        <v>42</v>
      </c>
      <c r="D89" s="23" t="s">
        <v>41</v>
      </c>
      <c r="E89" s="2">
        <f>#REF!</f>
        <v>51</v>
      </c>
      <c r="F89" s="25"/>
      <c r="G89" s="9"/>
      <c r="H89" s="14">
        <f>SUM(U82:U94)</f>
        <v>7.42</v>
      </c>
      <c r="I89" s="26"/>
      <c r="J89" s="6">
        <f>#REF!</f>
        <v>51</v>
      </c>
      <c r="K89" s="14">
        <f>SUM(V82:V94)</f>
        <v>262.93</v>
      </c>
      <c r="L89" s="24"/>
    </row>
    <row r="90" spans="1:26" x14ac:dyDescent="0.25">
      <c r="A90" s="22"/>
      <c r="B90" s="22"/>
      <c r="C90" s="22" t="s">
        <v>45</v>
      </c>
      <c r="D90" s="23" t="s">
        <v>46</v>
      </c>
      <c r="E90" s="2">
        <f>#REF!</f>
        <v>60.88</v>
      </c>
      <c r="F90" s="14"/>
      <c r="G90" s="9" t="str">
        <f>#REF!</f>
        <v>)*1,2</v>
      </c>
      <c r="H90" s="14"/>
      <c r="I90" s="9"/>
      <c r="J90" s="9"/>
      <c r="K90" s="14"/>
      <c r="L90" s="39">
        <f>#REF!</f>
        <v>1.46112</v>
      </c>
    </row>
    <row r="91" spans="1:26" ht="57" x14ac:dyDescent="0.25">
      <c r="A91" s="22" t="s">
        <v>52</v>
      </c>
      <c r="B91" s="22" t="str">
        <f>#REF!</f>
        <v>УПД № СфМ196880 от 16.09.2022</v>
      </c>
      <c r="C91" s="22" t="s">
        <v>66</v>
      </c>
      <c r="D91" s="23" t="str">
        <f>#REF!</f>
        <v>ШТ</v>
      </c>
      <c r="E91" s="2">
        <f>#REF!</f>
        <v>1</v>
      </c>
      <c r="F91" s="14">
        <f>#REF!+#REF!+#REF!</f>
        <v>585.79999999999995</v>
      </c>
      <c r="G91" s="40" t="s">
        <v>37</v>
      </c>
      <c r="H91" s="14">
        <f>ROUND(#REF!*#REF!, 2)+ROUND(#REF!*#REF!, 2)+ROUND(#REF!*#REF!, 2)</f>
        <v>585.79999999999995</v>
      </c>
      <c r="I91" s="9"/>
      <c r="J91" s="9">
        <f>IF(#REF!&lt;&gt; 0,#REF!, 1)</f>
        <v>6.9</v>
      </c>
      <c r="K91" s="14">
        <f>#REF!</f>
        <v>585.79999999999995</v>
      </c>
      <c r="L91" s="24"/>
      <c r="S91">
        <f>ROUND((#REF!/100)*((ROUND(#REF!*#REF!, 2)+ROUND(#REF!*#REF!, 2))), 2)</f>
        <v>0</v>
      </c>
      <c r="T91">
        <f>#REF!</f>
        <v>0</v>
      </c>
      <c r="U91">
        <f>ROUND((#REF!/100)*((ROUND(#REF!*#REF!, 2)+ROUND(#REF!*#REF!, 2))), 2)</f>
        <v>0</v>
      </c>
      <c r="V91">
        <f>#REF!</f>
        <v>0</v>
      </c>
      <c r="W91">
        <f>IF(#REF!&lt;=1,H91, 0)</f>
        <v>0</v>
      </c>
      <c r="X91">
        <f>IF(#REF!=2,H91, 0)</f>
        <v>585.79999999999995</v>
      </c>
      <c r="Y91">
        <f>IF(#REF!=3,H91, 0)</f>
        <v>0</v>
      </c>
      <c r="Z91">
        <f>IF(#REF!=4,H91, 0)</f>
        <v>0</v>
      </c>
    </row>
    <row r="92" spans="1:26" ht="57" x14ac:dyDescent="0.25">
      <c r="A92" s="22" t="s">
        <v>53</v>
      </c>
      <c r="B92" s="22" t="str">
        <f>#REF!</f>
        <v>УПД № СфМ200687 от 21.09.2022</v>
      </c>
      <c r="C92" s="22" t="s">
        <v>67</v>
      </c>
      <c r="D92" s="23" t="str">
        <f>#REF!</f>
        <v>ШТ</v>
      </c>
      <c r="E92" s="2">
        <f>#REF!</f>
        <v>1</v>
      </c>
      <c r="F92" s="14">
        <f>#REF!+#REF!+#REF!</f>
        <v>1513</v>
      </c>
      <c r="G92" s="40" t="s">
        <v>37</v>
      </c>
      <c r="H92" s="14">
        <f>ROUND(#REF!*#REF!, 2)+ROUND(#REF!*#REF!, 2)+ROUND(#REF!*#REF!, 2)</f>
        <v>1513</v>
      </c>
      <c r="I92" s="9"/>
      <c r="J92" s="9">
        <f>IF(#REF!&lt;&gt; 0,#REF!, 1)</f>
        <v>6.9</v>
      </c>
      <c r="K92" s="14">
        <f>#REF!</f>
        <v>1513</v>
      </c>
      <c r="L92" s="24"/>
      <c r="S92">
        <f>ROUND((#REF!/100)*((ROUND(#REF!*#REF!, 2)+ROUND(#REF!*#REF!, 2))), 2)</f>
        <v>0</v>
      </c>
      <c r="T92">
        <f>#REF!</f>
        <v>0</v>
      </c>
      <c r="U92">
        <f>ROUND((#REF!/100)*((ROUND(#REF!*#REF!, 2)+ROUND(#REF!*#REF!, 2))), 2)</f>
        <v>0</v>
      </c>
      <c r="V92">
        <f>#REF!</f>
        <v>0</v>
      </c>
      <c r="W92">
        <f>IF(#REF!&lt;=1,H92, 0)</f>
        <v>0</v>
      </c>
      <c r="X92">
        <f>IF(#REF!=2,H92, 0)</f>
        <v>1513</v>
      </c>
      <c r="Y92">
        <f>IF(#REF!=3,H92, 0)</f>
        <v>0</v>
      </c>
      <c r="Z92">
        <f>IF(#REF!=4,H92, 0)</f>
        <v>0</v>
      </c>
    </row>
    <row r="93" spans="1:26" ht="57" x14ac:dyDescent="0.25">
      <c r="A93" s="22" t="s">
        <v>54</v>
      </c>
      <c r="B93" s="22" t="str">
        <f>#REF!</f>
        <v>УПД № СфМ200687 от 21.09.2022</v>
      </c>
      <c r="C93" s="22" t="s">
        <v>68</v>
      </c>
      <c r="D93" s="23" t="str">
        <f>#REF!</f>
        <v>ШТ</v>
      </c>
      <c r="E93" s="2">
        <f>#REF!</f>
        <v>1</v>
      </c>
      <c r="F93" s="14">
        <f>#REF!+#REF!+#REF!</f>
        <v>189.83</v>
      </c>
      <c r="G93" s="40" t="s">
        <v>37</v>
      </c>
      <c r="H93" s="14">
        <f>ROUND(#REF!*#REF!, 2)+ROUND(#REF!*#REF!, 2)+ROUND(#REF!*#REF!, 2)</f>
        <v>189.83</v>
      </c>
      <c r="I93" s="9"/>
      <c r="J93" s="9">
        <f>IF(#REF!&lt;&gt; 0,#REF!, 1)</f>
        <v>6.9</v>
      </c>
      <c r="K93" s="14">
        <f>#REF!</f>
        <v>189.83</v>
      </c>
      <c r="L93" s="24"/>
      <c r="S93">
        <f>ROUND((#REF!/100)*((ROUND(#REF!*#REF!, 2)+ROUND(#REF!*#REF!, 2))), 2)</f>
        <v>0</v>
      </c>
      <c r="T93">
        <f>#REF!</f>
        <v>0</v>
      </c>
      <c r="U93">
        <f>ROUND((#REF!/100)*((ROUND(#REF!*#REF!, 2)+ROUND(#REF!*#REF!, 2))), 2)</f>
        <v>0</v>
      </c>
      <c r="V93">
        <f>#REF!</f>
        <v>0</v>
      </c>
      <c r="W93">
        <f>IF(#REF!&lt;=1,H93, 0)</f>
        <v>0</v>
      </c>
      <c r="X93">
        <f>IF(#REF!=2,H93, 0)</f>
        <v>189.83</v>
      </c>
      <c r="Y93">
        <f>IF(#REF!=3,H93, 0)</f>
        <v>0</v>
      </c>
      <c r="Z93">
        <f>IF(#REF!=4,H93, 0)</f>
        <v>0</v>
      </c>
    </row>
    <row r="94" spans="1:26" ht="42.75" x14ac:dyDescent="0.25">
      <c r="A94" s="27" t="s">
        <v>55</v>
      </c>
      <c r="B94" s="27" t="str">
        <f>#REF!</f>
        <v>УПД № 133422 от 19.10.2022</v>
      </c>
      <c r="C94" s="27" t="s">
        <v>69</v>
      </c>
      <c r="D94" s="28" t="str">
        <f>#REF!</f>
        <v>ШТ</v>
      </c>
      <c r="E94" s="29">
        <f>#REF!</f>
        <v>1</v>
      </c>
      <c r="F94" s="32">
        <f>#REF!+#REF!+#REF!</f>
        <v>40.799999999999997</v>
      </c>
      <c r="G94" s="41" t="s">
        <v>37</v>
      </c>
      <c r="H94" s="32">
        <f>ROUND(#REF!*#REF!, 2)+ROUND(#REF!*#REF!, 2)+ROUND(#REF!*#REF!, 2)</f>
        <v>40.799999999999997</v>
      </c>
      <c r="I94" s="31"/>
      <c r="J94" s="31">
        <f>IF(#REF!&lt;&gt; 0,#REF!, 1)</f>
        <v>6.9</v>
      </c>
      <c r="K94" s="32">
        <f>#REF!</f>
        <v>40.799999999999997</v>
      </c>
      <c r="L94" s="35"/>
      <c r="S94">
        <f>ROUND((#REF!/100)*((ROUND(#REF!*#REF!, 2)+ROUND(#REF!*#REF!, 2))), 2)</f>
        <v>0</v>
      </c>
      <c r="T94">
        <f>#REF!</f>
        <v>0</v>
      </c>
      <c r="U94">
        <f>ROUND((#REF!/100)*((ROUND(#REF!*#REF!, 2)+ROUND(#REF!*#REF!, 2))), 2)</f>
        <v>0</v>
      </c>
      <c r="V94">
        <f>#REF!</f>
        <v>0</v>
      </c>
      <c r="W94">
        <f>IF(#REF!&lt;=1,H94, 0)</f>
        <v>0</v>
      </c>
      <c r="X94">
        <f>IF(#REF!=2,H94, 0)</f>
        <v>40.799999999999997</v>
      </c>
      <c r="Y94">
        <f>IF(#REF!=3,H94, 0)</f>
        <v>0</v>
      </c>
      <c r="Z94">
        <f>IF(#REF!=4,H94, 0)</f>
        <v>0</v>
      </c>
    </row>
    <row r="95" spans="1:26" x14ac:dyDescent="0.25">
      <c r="G95" s="53">
        <f>H84+H85+H87+H88+H89+SUM(H91:H94)</f>
        <v>2368.9300000000003</v>
      </c>
      <c r="H95" s="53"/>
      <c r="J95" s="53">
        <f>K84+K85+K87+K88+K89+SUM(K91:K94)</f>
        <v>3635.17</v>
      </c>
      <c r="K95" s="53"/>
      <c r="L95" s="36">
        <f>#REF!</f>
        <v>1.46112</v>
      </c>
      <c r="O95" s="37">
        <f>G95</f>
        <v>2368.9300000000003</v>
      </c>
      <c r="P95" s="37">
        <f>J95</f>
        <v>3635.17</v>
      </c>
      <c r="Q95" s="37">
        <f>L95</f>
        <v>1.46112</v>
      </c>
      <c r="W95">
        <f>IF(#REF!&lt;=1,H84+H85+H87+H88+H89, 0)</f>
        <v>0</v>
      </c>
      <c r="X95">
        <f>IF(#REF!=2,H84+H85+H87+H88+H89, 0)</f>
        <v>39.5</v>
      </c>
      <c r="Y95">
        <f>IF(#REF!=3,H84+H85+H87+H88+H89, 0)</f>
        <v>0</v>
      </c>
      <c r="Z95">
        <f>IF(#REF!=4,H84+H85+H87+H88+H89, 0)</f>
        <v>0</v>
      </c>
    </row>
    <row r="96" spans="1:26" ht="57" x14ac:dyDescent="0.25">
      <c r="A96" s="22">
        <v>6</v>
      </c>
      <c r="B96" s="22" t="str">
        <f>#REF!</f>
        <v>м10-06-068-15</v>
      </c>
      <c r="C96" s="22" t="str">
        <f>#REF!</f>
        <v>Настройка простых сетевых трактов: конфигурация и настройка сетевых компонентов (мост, маршрутизатор, модем и т.п.)</v>
      </c>
      <c r="D96" s="23" t="str">
        <f>#REF!</f>
        <v>ШТ</v>
      </c>
      <c r="E96" s="2">
        <f>#REF!</f>
        <v>12</v>
      </c>
      <c r="F96" s="14">
        <f>#REF!+#REF!+#REF!</f>
        <v>482.75</v>
      </c>
      <c r="G96" s="9"/>
      <c r="H96" s="14"/>
      <c r="I96" s="9" t="str">
        <f>#REF!</f>
        <v/>
      </c>
      <c r="J96" s="9"/>
      <c r="K96" s="14"/>
      <c r="L96" s="24"/>
      <c r="S96">
        <f>ROUND((#REF!/100)*((ROUND(#REF!*#REF!, 2)+ROUND(#REF!*#REF!, 2))), 2)</f>
        <v>6133.75</v>
      </c>
      <c r="T96">
        <f>#REF!</f>
        <v>217441.51</v>
      </c>
      <c r="U96">
        <f>ROUND((#REF!/100)*((ROUND(#REF!*#REF!, 2)+ROUND(#REF!*#REF!, 2))), 2)</f>
        <v>3135.03</v>
      </c>
      <c r="V96">
        <f>#REF!</f>
        <v>111136.77</v>
      </c>
    </row>
    <row r="97" spans="1:26" x14ac:dyDescent="0.25">
      <c r="A97" s="22"/>
      <c r="B97" s="22"/>
      <c r="C97" s="22" t="s">
        <v>38</v>
      </c>
      <c r="D97" s="23"/>
      <c r="E97" s="2"/>
      <c r="F97" s="14">
        <f>#REF!</f>
        <v>473.28</v>
      </c>
      <c r="G97" s="9" t="str">
        <f>#REF!</f>
        <v>)*1,2</v>
      </c>
      <c r="H97" s="14">
        <f>ROUND(#REF!*#REF!, 2)</f>
        <v>6815.28</v>
      </c>
      <c r="I97" s="9"/>
      <c r="J97" s="9">
        <f>IF(#REF!&lt;&gt; 0,#REF!, 1)</f>
        <v>35.450000000000003</v>
      </c>
      <c r="K97" s="14">
        <f>#REF!</f>
        <v>241601.68</v>
      </c>
      <c r="L97" s="24"/>
      <c r="R97">
        <f>H97</f>
        <v>6815.28</v>
      </c>
    </row>
    <row r="98" spans="1:26" x14ac:dyDescent="0.25">
      <c r="A98" s="22"/>
      <c r="B98" s="22"/>
      <c r="C98" s="22" t="s">
        <v>39</v>
      </c>
      <c r="D98" s="23"/>
      <c r="E98" s="2"/>
      <c r="F98" s="14">
        <f>#REF!</f>
        <v>9.4700000000000006</v>
      </c>
      <c r="G98" s="9" t="str">
        <f>#REF!</f>
        <v/>
      </c>
      <c r="H98" s="14">
        <f>ROUND(#REF!*#REF!, 2)</f>
        <v>113.64</v>
      </c>
      <c r="I98" s="9"/>
      <c r="J98" s="9">
        <f>IF(#REF!&lt;&gt; 0,#REF!, 1)</f>
        <v>6.9</v>
      </c>
      <c r="K98" s="14">
        <f>#REF!</f>
        <v>784.12</v>
      </c>
      <c r="L98" s="24"/>
    </row>
    <row r="99" spans="1:26" x14ac:dyDescent="0.25">
      <c r="A99" s="22"/>
      <c r="B99" s="22"/>
      <c r="C99" s="22" t="s">
        <v>40</v>
      </c>
      <c r="D99" s="23" t="s">
        <v>41</v>
      </c>
      <c r="E99" s="2">
        <f>#REF!</f>
        <v>90</v>
      </c>
      <c r="F99" s="25"/>
      <c r="G99" s="9"/>
      <c r="H99" s="14">
        <f>SUM(S96:S100)</f>
        <v>6133.75</v>
      </c>
      <c r="I99" s="26"/>
      <c r="J99" s="6">
        <f>#REF!</f>
        <v>90</v>
      </c>
      <c r="K99" s="14">
        <f>SUM(T96:T100)</f>
        <v>217441.51</v>
      </c>
      <c r="L99" s="24"/>
    </row>
    <row r="100" spans="1:26" x14ac:dyDescent="0.25">
      <c r="A100" s="27"/>
      <c r="B100" s="27"/>
      <c r="C100" s="27" t="s">
        <v>42</v>
      </c>
      <c r="D100" s="28" t="s">
        <v>41</v>
      </c>
      <c r="E100" s="29">
        <f>#REF!</f>
        <v>46</v>
      </c>
      <c r="F100" s="30"/>
      <c r="G100" s="31"/>
      <c r="H100" s="32">
        <f>SUM(U96:U100)</f>
        <v>3135.03</v>
      </c>
      <c r="I100" s="33"/>
      <c r="J100" s="34">
        <f>#REF!</f>
        <v>46</v>
      </c>
      <c r="K100" s="32">
        <f>SUM(V96:V100)</f>
        <v>111136.77</v>
      </c>
      <c r="L100" s="35"/>
    </row>
    <row r="101" spans="1:26" x14ac:dyDescent="0.25">
      <c r="G101" s="53">
        <f>H97+H98+H99+H100</f>
        <v>16197.7</v>
      </c>
      <c r="H101" s="53"/>
      <c r="J101" s="53">
        <f>K97+K98+K99+K100</f>
        <v>570964.07999999996</v>
      </c>
      <c r="K101" s="53"/>
      <c r="L101" s="36">
        <f>#REF!</f>
        <v>0</v>
      </c>
      <c r="O101" s="37">
        <f>G101</f>
        <v>16197.7</v>
      </c>
      <c r="P101" s="37">
        <f>J101</f>
        <v>570964.07999999996</v>
      </c>
      <c r="Q101" s="37">
        <f>L101</f>
        <v>0</v>
      </c>
      <c r="W101">
        <f>IF(#REF!&lt;=1,H97+H98+H99+H100, 0)</f>
        <v>0</v>
      </c>
      <c r="X101">
        <f>IF(#REF!=2,H97+H98+H99+H100, 0)</f>
        <v>16197.7</v>
      </c>
      <c r="Y101">
        <f>IF(#REF!=3,H97+H98+H99+H100, 0)</f>
        <v>0</v>
      </c>
      <c r="Z101">
        <f>IF(#REF!=4,H97+H98+H99+H100, 0)</f>
        <v>0</v>
      </c>
    </row>
    <row r="102" spans="1:26" ht="28.5" x14ac:dyDescent="0.25">
      <c r="A102" s="22">
        <v>7</v>
      </c>
      <c r="B102" s="22" t="str">
        <f>#REF!</f>
        <v>м10-02-041-03</v>
      </c>
      <c r="C102" s="22" t="str">
        <f>#REF!</f>
        <v>Электрическая проверка и настройка: канала ввода-вывода информации</v>
      </c>
      <c r="D102" s="23" t="str">
        <f>#REF!</f>
        <v>канал</v>
      </c>
      <c r="E102" s="2">
        <f>#REF!</f>
        <v>12</v>
      </c>
      <c r="F102" s="14">
        <f>#REF!+#REF!+#REF!</f>
        <v>204.26999999999998</v>
      </c>
      <c r="G102" s="9"/>
      <c r="H102" s="14"/>
      <c r="I102" s="9" t="str">
        <f>#REF!</f>
        <v/>
      </c>
      <c r="J102" s="9"/>
      <c r="K102" s="14"/>
      <c r="L102" s="24"/>
      <c r="S102">
        <f>ROUND((#REF!/100)*((ROUND(#REF!*#REF!, 2)+ROUND(#REF!*#REF!, 2))), 2)</f>
        <v>2595.35</v>
      </c>
      <c r="T102">
        <f>#REF!</f>
        <v>92005.08</v>
      </c>
      <c r="U102">
        <f>ROUND((#REF!/100)*((ROUND(#REF!*#REF!, 2)+ROUND(#REF!*#REF!, 2))), 2)</f>
        <v>1326.51</v>
      </c>
      <c r="V102">
        <f>#REF!</f>
        <v>47024.82</v>
      </c>
    </row>
    <row r="103" spans="1:26" x14ac:dyDescent="0.25">
      <c r="A103" s="22"/>
      <c r="B103" s="22"/>
      <c r="C103" s="22" t="s">
        <v>38</v>
      </c>
      <c r="D103" s="23"/>
      <c r="E103" s="2"/>
      <c r="F103" s="14">
        <f>#REF!</f>
        <v>200.26</v>
      </c>
      <c r="G103" s="9" t="str">
        <f>#REF!</f>
        <v>)*1,2</v>
      </c>
      <c r="H103" s="14">
        <f>ROUND(#REF!*#REF!, 2)</f>
        <v>2883.72</v>
      </c>
      <c r="I103" s="9"/>
      <c r="J103" s="9">
        <f>IF(#REF!&lt;&gt; 0,#REF!, 1)</f>
        <v>35.450000000000003</v>
      </c>
      <c r="K103" s="14">
        <f>#REF!</f>
        <v>102227.87</v>
      </c>
      <c r="L103" s="24"/>
      <c r="R103">
        <f>H103</f>
        <v>2883.72</v>
      </c>
    </row>
    <row r="104" spans="1:26" x14ac:dyDescent="0.25">
      <c r="A104" s="22"/>
      <c r="B104" s="22"/>
      <c r="C104" s="22" t="s">
        <v>39</v>
      </c>
      <c r="D104" s="23"/>
      <c r="E104" s="2"/>
      <c r="F104" s="14">
        <f>#REF!</f>
        <v>4.01</v>
      </c>
      <c r="G104" s="9" t="str">
        <f>#REF!</f>
        <v/>
      </c>
      <c r="H104" s="14">
        <f>ROUND(#REF!*#REF!, 2)</f>
        <v>48.12</v>
      </c>
      <c r="I104" s="9"/>
      <c r="J104" s="9">
        <f>IF(#REF!&lt;&gt; 0,#REF!, 1)</f>
        <v>6.9</v>
      </c>
      <c r="K104" s="14">
        <f>#REF!</f>
        <v>332.03</v>
      </c>
      <c r="L104" s="24"/>
    </row>
    <row r="105" spans="1:26" x14ac:dyDescent="0.25">
      <c r="A105" s="22"/>
      <c r="B105" s="22"/>
      <c r="C105" s="22" t="s">
        <v>40</v>
      </c>
      <c r="D105" s="23" t="s">
        <v>41</v>
      </c>
      <c r="E105" s="2">
        <f>#REF!</f>
        <v>90</v>
      </c>
      <c r="F105" s="25"/>
      <c r="G105" s="9"/>
      <c r="H105" s="14">
        <f>SUM(S102:S107)</f>
        <v>2595.35</v>
      </c>
      <c r="I105" s="26"/>
      <c r="J105" s="6">
        <f>#REF!</f>
        <v>90</v>
      </c>
      <c r="K105" s="14">
        <f>SUM(T102:T107)</f>
        <v>92005.08</v>
      </c>
      <c r="L105" s="24"/>
    </row>
    <row r="106" spans="1:26" x14ac:dyDescent="0.25">
      <c r="A106" s="22"/>
      <c r="B106" s="22"/>
      <c r="C106" s="22" t="s">
        <v>42</v>
      </c>
      <c r="D106" s="23" t="s">
        <v>41</v>
      </c>
      <c r="E106" s="2">
        <f>#REF!</f>
        <v>46</v>
      </c>
      <c r="F106" s="25"/>
      <c r="G106" s="9"/>
      <c r="H106" s="14">
        <f>SUM(U102:U107)</f>
        <v>1326.51</v>
      </c>
      <c r="I106" s="26"/>
      <c r="J106" s="6">
        <f>#REF!</f>
        <v>46</v>
      </c>
      <c r="K106" s="14">
        <f>SUM(V102:V107)</f>
        <v>47024.82</v>
      </c>
      <c r="L106" s="24"/>
    </row>
    <row r="107" spans="1:26" x14ac:dyDescent="0.25">
      <c r="A107" s="27"/>
      <c r="B107" s="27"/>
      <c r="C107" s="27" t="s">
        <v>45</v>
      </c>
      <c r="D107" s="28" t="s">
        <v>46</v>
      </c>
      <c r="E107" s="29">
        <f>#REF!</f>
        <v>15.5</v>
      </c>
      <c r="F107" s="32"/>
      <c r="G107" s="31" t="str">
        <f>#REF!</f>
        <v>)*1,2</v>
      </c>
      <c r="H107" s="32"/>
      <c r="I107" s="31"/>
      <c r="J107" s="31"/>
      <c r="K107" s="32"/>
      <c r="L107" s="43">
        <f>#REF!</f>
        <v>223.2</v>
      </c>
    </row>
    <row r="108" spans="1:26" x14ac:dyDescent="0.25">
      <c r="G108" s="53">
        <f>H103+H104+H105+H106</f>
        <v>6853.7</v>
      </c>
      <c r="H108" s="53"/>
      <c r="J108" s="53">
        <f>K103+K104+K105+K106</f>
        <v>241589.8</v>
      </c>
      <c r="K108" s="53"/>
      <c r="L108" s="36">
        <f>#REF!</f>
        <v>223.2</v>
      </c>
      <c r="O108" s="37">
        <f>G108</f>
        <v>6853.7</v>
      </c>
      <c r="P108" s="37">
        <f>J108</f>
        <v>241589.8</v>
      </c>
      <c r="Q108" s="37">
        <f>L108</f>
        <v>223.2</v>
      </c>
      <c r="W108">
        <f>IF(#REF!&lt;=1,H103+H104+H105+H106, 0)</f>
        <v>0</v>
      </c>
      <c r="X108">
        <f>IF(#REF!=2,H103+H104+H105+H106, 0)</f>
        <v>6853.7</v>
      </c>
      <c r="Y108">
        <f>IF(#REF!=3,H103+H104+H105+H106, 0)</f>
        <v>0</v>
      </c>
      <c r="Z108">
        <f>IF(#REF!=4,H103+H104+H105+H106, 0)</f>
        <v>0</v>
      </c>
    </row>
    <row r="110" spans="1:26" x14ac:dyDescent="0.25">
      <c r="A110" s="51" t="str">
        <f>CONCATENATE("Итого по разделу: ",IF(#REF!&lt;&gt;"Новый раздел",#REF!, ""))</f>
        <v xml:space="preserve">Итого по разделу: </v>
      </c>
      <c r="B110" s="51"/>
      <c r="C110" s="51"/>
      <c r="D110" s="51"/>
      <c r="E110" s="51"/>
      <c r="F110" s="51"/>
      <c r="G110" s="52">
        <f>SUM(O42:O109)</f>
        <v>58604.56</v>
      </c>
      <c r="H110" s="52"/>
      <c r="I110" s="45"/>
      <c r="J110" s="52">
        <f>SUM(P42:P109)</f>
        <v>1076512.6399999999</v>
      </c>
      <c r="K110" s="52"/>
      <c r="L110" s="36">
        <f>SUM(Q42:Q109)</f>
        <v>395.99232000000001</v>
      </c>
    </row>
    <row r="114" spans="1:32" x14ac:dyDescent="0.25">
      <c r="A114" s="51" t="str">
        <f>CONCATENATE("Итого по локальной смете: ",IF(#REF!&lt;&gt;"Новая локальная смета",#REF!, ""))</f>
        <v>Итого по локальной смете: 02-01-02</v>
      </c>
      <c r="B114" s="51"/>
      <c r="C114" s="51"/>
      <c r="D114" s="51"/>
      <c r="E114" s="51"/>
      <c r="F114" s="51"/>
      <c r="G114" s="52">
        <f>SUM(O41:O113)</f>
        <v>58604.56</v>
      </c>
      <c r="H114" s="52"/>
      <c r="I114" s="45"/>
      <c r="J114" s="52">
        <f>SUM(P41:P113)</f>
        <v>1076512.6399999999</v>
      </c>
      <c r="K114" s="52"/>
      <c r="L114" s="36">
        <f>SUM(Q41:Q113)</f>
        <v>395.99232000000001</v>
      </c>
    </row>
    <row r="117" spans="1:32" x14ac:dyDescent="0.25">
      <c r="C117" s="49" t="str">
        <f>#REF!</f>
        <v>Стоимость материалов (всего)</v>
      </c>
      <c r="D117" s="49"/>
      <c r="E117" s="49"/>
      <c r="F117" s="49"/>
      <c r="G117" s="49"/>
      <c r="H117" s="49"/>
      <c r="I117" s="49"/>
      <c r="J117" s="50">
        <f xml:space="preserve"> IF(#REF!=0, "",#REF!)</f>
        <v>34089.519999999997</v>
      </c>
      <c r="K117" s="50"/>
    </row>
    <row r="118" spans="1:32" x14ac:dyDescent="0.25">
      <c r="C118" s="49" t="str">
        <f>#REF!</f>
        <v>Стоимость оборудования (всего)</v>
      </c>
      <c r="D118" s="49"/>
      <c r="E118" s="49"/>
      <c r="F118" s="49"/>
      <c r="G118" s="49"/>
      <c r="H118" s="49"/>
      <c r="I118" s="49"/>
      <c r="J118" s="50" t="str">
        <f xml:space="preserve"> IF(#REF!=0, "",#REF!)</f>
        <v/>
      </c>
      <c r="K118" s="50"/>
    </row>
    <row r="119" spans="1:32" x14ac:dyDescent="0.25">
      <c r="C119" s="49" t="str">
        <f>#REF!</f>
        <v>Эксплуатация машин</v>
      </c>
      <c r="D119" s="49"/>
      <c r="E119" s="49"/>
      <c r="F119" s="49"/>
      <c r="G119" s="49"/>
      <c r="H119" s="49"/>
      <c r="I119" s="49"/>
      <c r="J119" s="50">
        <f xml:space="preserve"> IF(#REF!=0, "",#REF!)</f>
        <v>8046.18</v>
      </c>
      <c r="K119" s="50"/>
    </row>
    <row r="120" spans="1:32" x14ac:dyDescent="0.25">
      <c r="C120" s="49" t="str">
        <f>#REF!</f>
        <v>ЗП машинистов</v>
      </c>
      <c r="D120" s="49"/>
      <c r="E120" s="49"/>
      <c r="F120" s="49"/>
      <c r="G120" s="49"/>
      <c r="H120" s="49"/>
      <c r="I120" s="49"/>
      <c r="J120" s="50">
        <f xml:space="preserve"> IF(#REF!=0, "",#REF!)</f>
        <v>2630.55</v>
      </c>
      <c r="K120" s="50"/>
    </row>
    <row r="121" spans="1:32" x14ac:dyDescent="0.25">
      <c r="C121" s="49" t="str">
        <f>#REF!</f>
        <v>Основная ЗП рабочих</v>
      </c>
      <c r="D121" s="49"/>
      <c r="E121" s="49"/>
      <c r="F121" s="49"/>
      <c r="G121" s="49"/>
      <c r="H121" s="49"/>
      <c r="I121" s="49"/>
      <c r="J121" s="50">
        <f xml:space="preserve"> IF(#REF!=0, "",#REF!)</f>
        <v>436680.89</v>
      </c>
      <c r="K121" s="50"/>
    </row>
    <row r="122" spans="1:32" x14ac:dyDescent="0.25">
      <c r="C122" s="49" t="str">
        <f>#REF!</f>
        <v>Прочие работы с НР и СП</v>
      </c>
      <c r="D122" s="49"/>
      <c r="E122" s="49"/>
      <c r="F122" s="49"/>
      <c r="G122" s="49"/>
      <c r="H122" s="49"/>
      <c r="I122" s="49"/>
      <c r="J122" s="50" t="str">
        <f xml:space="preserve"> IF(#REF!=0, "",#REF!)</f>
        <v/>
      </c>
      <c r="K122" s="50"/>
    </row>
    <row r="123" spans="1:32" x14ac:dyDescent="0.25">
      <c r="C123" s="49" t="str">
        <f>#REF!</f>
        <v>Накладные расходы</v>
      </c>
      <c r="D123" s="49"/>
      <c r="E123" s="49"/>
      <c r="F123" s="49"/>
      <c r="G123" s="49"/>
      <c r="H123" s="49"/>
      <c r="I123" s="49"/>
      <c r="J123" s="50">
        <f xml:space="preserve"> IF(#REF!=0, "",#REF!)</f>
        <v>395515.91</v>
      </c>
      <c r="K123" s="50"/>
    </row>
    <row r="124" spans="1:32" x14ac:dyDescent="0.25">
      <c r="C124" s="49" t="str">
        <f>#REF!</f>
        <v>Сметная прибыль</v>
      </c>
      <c r="D124" s="49"/>
      <c r="E124" s="49"/>
      <c r="F124" s="49"/>
      <c r="G124" s="49"/>
      <c r="H124" s="49"/>
      <c r="I124" s="49"/>
      <c r="J124" s="50">
        <f xml:space="preserve"> IF(#REF!=0, "",#REF!)</f>
        <v>202180.14</v>
      </c>
      <c r="K124" s="50"/>
    </row>
    <row r="126" spans="1:32" x14ac:dyDescent="0.25">
      <c r="A126" s="51" t="str">
        <f>CONCATENATE("Итого по смете: ",IF(#REF!&lt;&gt;"Новый объект",#REF!, ""))</f>
        <v>Итого по смете: Ремонт офиса (СКУД)</v>
      </c>
      <c r="B126" s="51"/>
      <c r="C126" s="51"/>
      <c r="D126" s="51"/>
      <c r="E126" s="51"/>
      <c r="F126" s="51"/>
      <c r="G126" s="52">
        <f>SUM(O1:O125)</f>
        <v>58604.56</v>
      </c>
      <c r="H126" s="52"/>
      <c r="I126" s="45"/>
      <c r="J126" s="52">
        <f>SUM(P1:P125)</f>
        <v>1076512.6399999999</v>
      </c>
      <c r="K126" s="52"/>
      <c r="L126" s="36">
        <f>SUM(Q1:Q125)</f>
        <v>395.99232000000001</v>
      </c>
      <c r="AF126" s="44" t="str">
        <f>CONCATENATE("Итого по смете: ",IF(#REF!&lt;&gt;"Новый объект",#REF!, ""))</f>
        <v>Итого по смете: Ремонт офиса (СКУД)</v>
      </c>
    </row>
    <row r="128" spans="1:32" x14ac:dyDescent="0.25">
      <c r="C128" s="49" t="str">
        <f>#REF!</f>
        <v>Стоимость материалов в текущих ценах К 6,9</v>
      </c>
      <c r="D128" s="49"/>
      <c r="E128" s="49"/>
      <c r="F128" s="49"/>
      <c r="G128" s="49"/>
      <c r="H128" s="49"/>
      <c r="I128" s="49"/>
      <c r="J128" s="50">
        <f xml:space="preserve"> IF(#REF!=0, "",#REF!)</f>
        <v>34089.519999999997</v>
      </c>
      <c r="K128" s="50"/>
    </row>
    <row r="129" spans="1:12" x14ac:dyDescent="0.25">
      <c r="C129" s="49" t="str">
        <f>#REF!</f>
        <v>Эксплуатация машин в текущих ценах К 12,14</v>
      </c>
      <c r="D129" s="49"/>
      <c r="E129" s="49"/>
      <c r="F129" s="49"/>
      <c r="G129" s="49"/>
      <c r="H129" s="49"/>
      <c r="I129" s="49"/>
      <c r="J129" s="50">
        <f xml:space="preserve"> IF(#REF!=0, "",#REF!)</f>
        <v>5415.63</v>
      </c>
      <c r="K129" s="50"/>
    </row>
    <row r="130" spans="1:12" x14ac:dyDescent="0.25">
      <c r="C130" s="49" t="str">
        <f>#REF!</f>
        <v>ЗП машинистов в текущих ценах К 35,45</v>
      </c>
      <c r="D130" s="49"/>
      <c r="E130" s="49"/>
      <c r="F130" s="49"/>
      <c r="G130" s="49"/>
      <c r="H130" s="49"/>
      <c r="I130" s="49"/>
      <c r="J130" s="50">
        <f xml:space="preserve"> IF(#REF!=0, "",#REF!)</f>
        <v>2630.55</v>
      </c>
      <c r="K130" s="50"/>
    </row>
    <row r="131" spans="1:12" x14ac:dyDescent="0.25">
      <c r="C131" s="49" t="str">
        <f>#REF!</f>
        <v>Заработная плата в текущих ценах  К 35,45</v>
      </c>
      <c r="D131" s="49"/>
      <c r="E131" s="49"/>
      <c r="F131" s="49"/>
      <c r="G131" s="49"/>
      <c r="H131" s="49"/>
      <c r="I131" s="49"/>
      <c r="J131" s="50">
        <f xml:space="preserve"> IF(#REF!=0, "",#REF!)</f>
        <v>436680.89</v>
      </c>
      <c r="K131" s="50"/>
    </row>
    <row r="132" spans="1:12" x14ac:dyDescent="0.25">
      <c r="C132" s="49" t="str">
        <f>#REF!</f>
        <v>Накладные расходы в текущих ценах К 35,45</v>
      </c>
      <c r="D132" s="49"/>
      <c r="E132" s="49"/>
      <c r="F132" s="49"/>
      <c r="G132" s="49"/>
      <c r="H132" s="49"/>
      <c r="I132" s="49"/>
      <c r="J132" s="50">
        <f xml:space="preserve"> IF(#REF!=0, "",#REF!)</f>
        <v>395515.91</v>
      </c>
      <c r="K132" s="50"/>
    </row>
    <row r="133" spans="1:12" x14ac:dyDescent="0.25">
      <c r="C133" s="49" t="str">
        <f>#REF!</f>
        <v>Сметная прибыль в текущих ценах К 35,45</v>
      </c>
      <c r="D133" s="49"/>
      <c r="E133" s="49"/>
      <c r="F133" s="49"/>
      <c r="G133" s="49"/>
      <c r="H133" s="49"/>
      <c r="I133" s="49"/>
      <c r="J133" s="50">
        <f xml:space="preserve"> IF(#REF!=0, "",#REF!)</f>
        <v>202180.14</v>
      </c>
      <c r="K133" s="50"/>
    </row>
    <row r="134" spans="1:12" x14ac:dyDescent="0.25">
      <c r="C134" s="49" t="str">
        <f>#REF!</f>
        <v>Стоимость оборудования в текущих ценах К 5,26</v>
      </c>
      <c r="D134" s="49"/>
      <c r="E134" s="49"/>
      <c r="F134" s="49"/>
      <c r="G134" s="49"/>
      <c r="H134" s="49"/>
      <c r="I134" s="49"/>
      <c r="J134" s="50" t="str">
        <f xml:space="preserve"> IF(#REF!=0, "",#REF!)</f>
        <v/>
      </c>
      <c r="K134" s="50"/>
    </row>
    <row r="135" spans="1:12" x14ac:dyDescent="0.25">
      <c r="C135" s="49" t="str">
        <f>#REF!</f>
        <v>Итого</v>
      </c>
      <c r="D135" s="49"/>
      <c r="E135" s="49"/>
      <c r="F135" s="49"/>
      <c r="G135" s="49"/>
      <c r="H135" s="49"/>
      <c r="I135" s="49"/>
      <c r="J135" s="50">
        <f xml:space="preserve"> IF(#REF!=0, "",#REF!)</f>
        <v>1076512.6399999999</v>
      </c>
      <c r="K135" s="50"/>
    </row>
    <row r="136" spans="1:12" x14ac:dyDescent="0.25">
      <c r="C136" s="49" t="str">
        <f>#REF!</f>
        <v>Зимнее удорожание 1,5 %</v>
      </c>
      <c r="D136" s="49"/>
      <c r="E136" s="49"/>
      <c r="F136" s="49"/>
      <c r="G136" s="49"/>
      <c r="H136" s="49"/>
      <c r="I136" s="49"/>
      <c r="J136" s="50">
        <f xml:space="preserve"> IF(#REF!=0, "",#REF!)</f>
        <v>16147.69</v>
      </c>
      <c r="K136" s="50"/>
    </row>
    <row r="137" spans="1:12" x14ac:dyDescent="0.25">
      <c r="C137" s="49" t="str">
        <f>#REF!</f>
        <v>Итого с учемто зимнего удорожания</v>
      </c>
      <c r="D137" s="49"/>
      <c r="E137" s="49"/>
      <c r="F137" s="49"/>
      <c r="G137" s="49"/>
      <c r="H137" s="49"/>
      <c r="I137" s="49"/>
      <c r="J137" s="50">
        <f xml:space="preserve"> IF(#REF!=0, "",#REF!)</f>
        <v>1092660.33</v>
      </c>
      <c r="K137" s="50"/>
    </row>
    <row r="138" spans="1:12" x14ac:dyDescent="0.25">
      <c r="C138" s="49" t="str">
        <f>#REF!</f>
        <v>Временные здания и сооружения 1,8 %</v>
      </c>
      <c r="D138" s="49"/>
      <c r="E138" s="49"/>
      <c r="F138" s="49"/>
      <c r="G138" s="49"/>
      <c r="H138" s="49"/>
      <c r="I138" s="49"/>
      <c r="J138" s="50">
        <f xml:space="preserve"> IF(#REF!=0, "",#REF!)</f>
        <v>19667.89</v>
      </c>
      <c r="K138" s="50"/>
    </row>
    <row r="139" spans="1:12" x14ac:dyDescent="0.25">
      <c r="C139" s="49" t="str">
        <f>#REF!</f>
        <v>Итого с учетом временных зданий и сооружений</v>
      </c>
      <c r="D139" s="49"/>
      <c r="E139" s="49"/>
      <c r="F139" s="49"/>
      <c r="G139" s="49"/>
      <c r="H139" s="49"/>
      <c r="I139" s="49"/>
      <c r="J139" s="50">
        <f xml:space="preserve"> IF(#REF!=0, "",#REF!)</f>
        <v>1112328.22</v>
      </c>
      <c r="K139" s="50"/>
    </row>
    <row r="140" spans="1:12" x14ac:dyDescent="0.25">
      <c r="C140" s="49" t="str">
        <f>#REF!</f>
        <v>НДС  20%</v>
      </c>
      <c r="D140" s="49"/>
      <c r="E140" s="49"/>
      <c r="F140" s="49"/>
      <c r="G140" s="49"/>
      <c r="H140" s="49"/>
      <c r="I140" s="49"/>
      <c r="J140" s="50">
        <f xml:space="preserve"> IF(#REF!=0, "",#REF!)</f>
        <v>222465.64</v>
      </c>
      <c r="K140" s="50"/>
    </row>
    <row r="141" spans="1:12" x14ac:dyDescent="0.25">
      <c r="C141" s="49" t="str">
        <f>#REF!</f>
        <v>Итого с учетом НДС</v>
      </c>
      <c r="D141" s="49"/>
      <c r="E141" s="49"/>
      <c r="F141" s="49"/>
      <c r="G141" s="49"/>
      <c r="H141" s="49"/>
      <c r="I141" s="49"/>
      <c r="J141" s="50">
        <f xml:space="preserve"> IF(#REF!=0, "",#REF!)</f>
        <v>1334793.8600000001</v>
      </c>
      <c r="K141" s="50"/>
    </row>
    <row r="144" spans="1:12" x14ac:dyDescent="0.25">
      <c r="A144" s="46" t="s">
        <v>56</v>
      </c>
      <c r="B144" s="46"/>
      <c r="C144" s="2" t="s">
        <v>57</v>
      </c>
      <c r="D144" s="47" t="str">
        <f>IF(#REF!&lt;&gt;"",#REF!, " ")</f>
        <v xml:space="preserve"> </v>
      </c>
      <c r="E144" s="47"/>
      <c r="F144" s="47"/>
      <c r="G144" s="47"/>
      <c r="H144" s="47"/>
      <c r="I144" s="3" t="str">
        <f>IF(#REF!&lt;&gt;"",#REF!, " ")</f>
        <v xml:space="preserve"> </v>
      </c>
      <c r="J144" s="2"/>
      <c r="K144" s="3"/>
      <c r="L144" s="3"/>
    </row>
    <row r="145" spans="1:12" x14ac:dyDescent="0.25">
      <c r="A145" s="3"/>
      <c r="B145" s="3"/>
      <c r="C145" s="2"/>
      <c r="D145" s="48" t="s">
        <v>58</v>
      </c>
      <c r="E145" s="48"/>
      <c r="F145" s="48"/>
      <c r="G145" s="48"/>
      <c r="H145" s="48"/>
      <c r="I145" s="3"/>
      <c r="J145" s="2"/>
      <c r="K145" s="3"/>
      <c r="L145" s="3"/>
    </row>
    <row r="146" spans="1:12" x14ac:dyDescent="0.25">
      <c r="A146" s="3"/>
      <c r="B146" s="3"/>
      <c r="C146" s="2"/>
      <c r="D146" s="3"/>
      <c r="E146" s="3"/>
      <c r="F146" s="3"/>
      <c r="G146" s="3"/>
      <c r="H146" s="3"/>
      <c r="I146" s="3"/>
      <c r="J146" s="2"/>
      <c r="K146" s="3"/>
      <c r="L146" s="3"/>
    </row>
    <row r="147" spans="1:12" x14ac:dyDescent="0.25">
      <c r="A147" s="46" t="s">
        <v>56</v>
      </c>
      <c r="B147" s="46"/>
      <c r="C147" s="2" t="s">
        <v>59</v>
      </c>
      <c r="D147" s="47" t="str">
        <f>IF(#REF!&lt;&gt;"",#REF!, " ")</f>
        <v xml:space="preserve"> </v>
      </c>
      <c r="E147" s="47"/>
      <c r="F147" s="47"/>
      <c r="G147" s="47"/>
      <c r="H147" s="47"/>
      <c r="I147" s="3" t="str">
        <f>IF(#REF!&lt;&gt;"",#REF!, " ")</f>
        <v xml:space="preserve"> </v>
      </c>
      <c r="J147" s="2"/>
      <c r="K147" s="3"/>
      <c r="L147" s="3"/>
    </row>
    <row r="148" spans="1:12" x14ac:dyDescent="0.25">
      <c r="A148" s="3"/>
      <c r="B148" s="3"/>
      <c r="C148" s="3"/>
      <c r="D148" s="48" t="s">
        <v>58</v>
      </c>
      <c r="E148" s="48"/>
      <c r="F148" s="48"/>
      <c r="G148" s="48"/>
      <c r="H148" s="48"/>
      <c r="I148" s="3"/>
      <c r="J148" s="3"/>
      <c r="K148" s="3"/>
      <c r="L148" s="3"/>
    </row>
    <row r="149" spans="1:12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x14ac:dyDescent="0.25">
      <c r="A150" s="3"/>
      <c r="B150" s="3"/>
      <c r="C150" s="2" t="s">
        <v>60</v>
      </c>
      <c r="D150" s="47" t="str">
        <f>IF(#REF!&lt;&gt;"",#REF!, " ")</f>
        <v xml:space="preserve"> </v>
      </c>
      <c r="E150" s="47"/>
      <c r="F150" s="47"/>
      <c r="G150" s="47"/>
      <c r="H150" s="47"/>
      <c r="I150" s="3" t="str">
        <f>IF(#REF!&lt;&gt;"",#REF!, " ")</f>
        <v xml:space="preserve"> </v>
      </c>
      <c r="J150" s="2"/>
      <c r="K150" s="3"/>
      <c r="L150" s="3"/>
    </row>
    <row r="151" spans="1:12" x14ac:dyDescent="0.25">
      <c r="A151" s="3"/>
      <c r="B151" s="3"/>
      <c r="C151" s="3"/>
      <c r="D151" s="48" t="s">
        <v>58</v>
      </c>
      <c r="E151" s="48"/>
      <c r="F151" s="48"/>
      <c r="G151" s="48"/>
      <c r="H151" s="48"/>
      <c r="I151" s="3"/>
      <c r="J151" s="3"/>
      <c r="K151" s="3"/>
      <c r="L151" s="3"/>
    </row>
  </sheetData>
  <mergeCells count="122">
    <mergeCell ref="B3:E3"/>
    <mergeCell ref="H3:L3"/>
    <mergeCell ref="B4:E4"/>
    <mergeCell ref="H4:L4"/>
    <mergeCell ref="H5:K5"/>
    <mergeCell ref="B7:E7"/>
    <mergeCell ref="H7:L7"/>
    <mergeCell ref="B17:K17"/>
    <mergeCell ref="B19:K19"/>
    <mergeCell ref="B20:K20"/>
    <mergeCell ref="A22:L22"/>
    <mergeCell ref="G25:H25"/>
    <mergeCell ref="I25:J25"/>
    <mergeCell ref="B8:E8"/>
    <mergeCell ref="H8:L8"/>
    <mergeCell ref="B11:K11"/>
    <mergeCell ref="F13:G13"/>
    <mergeCell ref="H13:K13"/>
    <mergeCell ref="B15:K15"/>
    <mergeCell ref="C28:F28"/>
    <mergeCell ref="G28:H28"/>
    <mergeCell ref="I28:J28"/>
    <mergeCell ref="K28:L28"/>
    <mergeCell ref="C29:F29"/>
    <mergeCell ref="G29:H29"/>
    <mergeCell ref="I29:J29"/>
    <mergeCell ref="K29:L29"/>
    <mergeCell ref="C26:F26"/>
    <mergeCell ref="G26:H26"/>
    <mergeCell ref="I26:J26"/>
    <mergeCell ref="K26:L26"/>
    <mergeCell ref="C27:F27"/>
    <mergeCell ref="G27:H27"/>
    <mergeCell ref="I27:J27"/>
    <mergeCell ref="K27:L27"/>
    <mergeCell ref="C32:F32"/>
    <mergeCell ref="G32:H32"/>
    <mergeCell ref="I32:J32"/>
    <mergeCell ref="K32:L32"/>
    <mergeCell ref="C33:F33"/>
    <mergeCell ref="G33:H33"/>
    <mergeCell ref="I33:J33"/>
    <mergeCell ref="C30:F30"/>
    <mergeCell ref="G30:H30"/>
    <mergeCell ref="I30:J30"/>
    <mergeCell ref="K30:L30"/>
    <mergeCell ref="C31:F31"/>
    <mergeCell ref="G31:H31"/>
    <mergeCell ref="I31:J31"/>
    <mergeCell ref="K31:L31"/>
    <mergeCell ref="G70:H70"/>
    <mergeCell ref="J70:K70"/>
    <mergeCell ref="G81:H81"/>
    <mergeCell ref="J81:K81"/>
    <mergeCell ref="G95:H95"/>
    <mergeCell ref="J95:K95"/>
    <mergeCell ref="A38:L38"/>
    <mergeCell ref="A42:L42"/>
    <mergeCell ref="G48:H48"/>
    <mergeCell ref="J48:K48"/>
    <mergeCell ref="G59:H59"/>
    <mergeCell ref="J59:K59"/>
    <mergeCell ref="A114:F114"/>
    <mergeCell ref="G114:H114"/>
    <mergeCell ref="J114:K114"/>
    <mergeCell ref="C117:I117"/>
    <mergeCell ref="J117:K117"/>
    <mergeCell ref="C118:I118"/>
    <mergeCell ref="J118:K118"/>
    <mergeCell ref="G101:H101"/>
    <mergeCell ref="J101:K101"/>
    <mergeCell ref="G108:H108"/>
    <mergeCell ref="J108:K108"/>
    <mergeCell ref="A110:F110"/>
    <mergeCell ref="G110:H110"/>
    <mergeCell ref="J110:K110"/>
    <mergeCell ref="C122:I122"/>
    <mergeCell ref="J122:K122"/>
    <mergeCell ref="C123:I123"/>
    <mergeCell ref="J123:K123"/>
    <mergeCell ref="C124:I124"/>
    <mergeCell ref="J124:K124"/>
    <mergeCell ref="C119:I119"/>
    <mergeCell ref="J119:K119"/>
    <mergeCell ref="C120:I120"/>
    <mergeCell ref="J120:K120"/>
    <mergeCell ref="C121:I121"/>
    <mergeCell ref="J121:K121"/>
    <mergeCell ref="C130:I130"/>
    <mergeCell ref="J130:K130"/>
    <mergeCell ref="C131:I131"/>
    <mergeCell ref="J131:K131"/>
    <mergeCell ref="C132:I132"/>
    <mergeCell ref="J132:K132"/>
    <mergeCell ref="A126:F126"/>
    <mergeCell ref="G126:H126"/>
    <mergeCell ref="J126:K126"/>
    <mergeCell ref="C128:I128"/>
    <mergeCell ref="J128:K128"/>
    <mergeCell ref="C129:I129"/>
    <mergeCell ref="J129:K129"/>
    <mergeCell ref="C136:I136"/>
    <mergeCell ref="J136:K136"/>
    <mergeCell ref="C137:I137"/>
    <mergeCell ref="J137:K137"/>
    <mergeCell ref="C138:I138"/>
    <mergeCell ref="J138:K138"/>
    <mergeCell ref="C133:I133"/>
    <mergeCell ref="J133:K133"/>
    <mergeCell ref="C134:I134"/>
    <mergeCell ref="J134:K134"/>
    <mergeCell ref="C135:I135"/>
    <mergeCell ref="J135:K135"/>
    <mergeCell ref="D145:H145"/>
    <mergeCell ref="D148:H148"/>
    <mergeCell ref="D151:H151"/>
    <mergeCell ref="C139:I139"/>
    <mergeCell ref="J139:K139"/>
    <mergeCell ref="C140:I140"/>
    <mergeCell ref="J140:K140"/>
    <mergeCell ref="C141:I141"/>
    <mergeCell ref="J141:K141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Рыбина Евгения Николаевна</dc:creator>
  <cp:lastModifiedBy>Рыбина Евгения Николаевна</cp:lastModifiedBy>
  <dcterms:created xsi:type="dcterms:W3CDTF">2015-06-05T18:19:34Z</dcterms:created>
  <dcterms:modified xsi:type="dcterms:W3CDTF">2023-01-19T14:30:41Z</dcterms:modified>
</cp:coreProperties>
</file>