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Любовь Николаевна\Desktop\Рабочая\РНЦ\Благовещенский корпус\НПД\!Финал_20.12.2021\"/>
    </mc:Choice>
  </mc:AlternateContent>
  <xr:revisionPtr revIDLastSave="0" documentId="13_ncr:1_{5207C945-B4E7-479D-8BDA-EA2BAC49DCD5}" xr6:coauthVersionLast="47" xr6:coauthVersionMax="47" xr10:uidLastSave="{00000000-0000-0000-0000-000000000000}"/>
  <bookViews>
    <workbookView xWindow="-120" yWindow="-120" windowWidth="29040" windowHeight="15840" tabRatio="759" xr2:uid="{5C06E343-3FCE-403A-B89B-FD9B98772323}"/>
  </bookViews>
  <sheets>
    <sheet name="РНЦ_Благовещенский корп. (НПД)" sheetId="1" r:id="rId1"/>
    <sheet name="№1_Предвар." sheetId="25" r:id="rId2"/>
    <sheet name="№2_КНИ" sheetId="26" r:id="rId3"/>
    <sheet name="№3_геодезия" sheetId="27" r:id="rId4"/>
    <sheet name="№4_геология" sheetId="28" r:id="rId5"/>
    <sheet name="№5_гидрометеор." sheetId="29" r:id="rId6"/>
    <sheet name="№6_археология" sheetId="30" r:id="rId7"/>
    <sheet name="№7_обслед..живоп." sheetId="31" r:id="rId8"/>
    <sheet name="№8_обслед.грунт." sheetId="32" r:id="rId9"/>
    <sheet name="№9_коррект.ПО" sheetId="33" r:id="rId10"/>
    <sheet name="№10_ОСОКН(изыск.)" sheetId="34" r:id="rId11"/>
    <sheet name="№11_ОСАОН" sheetId="35" r:id="rId12"/>
    <sheet name="№12_дем.матер." sheetId="37" r:id="rId13"/>
    <sheet name="№13_ПД(реставрация)" sheetId="38" r:id="rId14"/>
    <sheet name="№14_ПД(приспособл.)" sheetId="39" r:id="rId15"/>
    <sheet name="№15_РД(реставрация)" sheetId="40" r:id="rId16"/>
    <sheet name="№16_РД(приспособл.)" sheetId="41" r:id="rId17"/>
    <sheet name="№17_Техрегл." sheetId="42" r:id="rId18"/>
    <sheet name="№18_ТОБЭ" sheetId="43" r:id="rId19"/>
    <sheet name="№19_СТУ" sheetId="56" r:id="rId20"/>
    <sheet name="№20_ОСОКН" sheetId="45" r:id="rId21"/>
    <sheet name="№21_ГИКЭ" sheetId="46" r:id="rId22"/>
    <sheet name="№22_ВУЦ" sheetId="47" r:id="rId23"/>
    <sheet name="№23_КР" sheetId="48" r:id="rId24"/>
    <sheet name="Расчет КР" sheetId="49" r:id="rId25"/>
    <sheet name="№24_ИЭИ" sheetId="52" r:id="rId26"/>
    <sheet name="№25_инж.обсл.и обмеры" sheetId="53" r:id="rId27"/>
    <sheet name="№26_ЭП" sheetId="54" r:id="rId28"/>
    <sheet name="№27_Культ.слой" sheetId="55" r:id="rId29"/>
    <sheet name="№28_экспертиза" sheetId="59" r:id="rId30"/>
    <sheet name="Лист1" sheetId="58" r:id="rId31"/>
  </sheets>
  <externalReferences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</externalReferences>
  <definedNames>
    <definedName name="___asa5">[1]Лист3!$I$1:$I$5</definedName>
    <definedName name="__asa5">[2]Лист3!$I$1:$I$5</definedName>
    <definedName name="_asa5">[3]Лист3!$I$1:$I$5</definedName>
    <definedName name="bbb">[4]Коэффициенты!$A$1:$A$65536</definedName>
    <definedName name="fff" localSheetId="0">граж</definedName>
    <definedName name="fff">граж</definedName>
    <definedName name="ggggggggggggggggg">[4]база!$E$1:$E$65536</definedName>
    <definedName name="gggggggggggggggggggggggg">[4]Коэффициенты!$D$1:$D$3</definedName>
    <definedName name="Jkz">'[5]СметаСводная гост'!$F$8</definedName>
    <definedName name="n_3">{"";1;"двадцатьz";"тридцатьz";"сорокz";"пятьдесятz";"шестьдесятz";"семьдесятz";"восемьдесятz";"девяностоz"}</definedName>
    <definedName name="rrrrrrrrrrrrrrrrrrrrrrrr">[4]Коэффициенты!$A$1:$A$65536</definedName>
    <definedName name="аа">[4]Коэффициенты!$D$1:$D$3</definedName>
    <definedName name="аааа">[4]Коэффициенты!$A$1:$A$65536</definedName>
    <definedName name="АКСТ">'[6]Лист опроса'!$B$22</definedName>
    <definedName name="аолрмб">[7]Вспомогательный!$D$77</definedName>
    <definedName name="Богат">[8]СметаСводная!$C$8</definedName>
    <definedName name="в">[4]база!$E$1:$E$65536</definedName>
    <definedName name="вввв">[4]Коэффициенты!$A$1:$A$65536</definedName>
    <definedName name="вввввввввввв">[4]база!$E$1:$E$65536</definedName>
    <definedName name="вввввввввввввввв">[4]база!$E$1:$E$65536</definedName>
    <definedName name="выдал">[4]база!$E$1:$E$65536</definedName>
    <definedName name="геодез1">[9]геолог!$L$81</definedName>
    <definedName name="гк">[10]СметаСводная!$H$2</definedName>
    <definedName name="ддддддддддддддддд">[4]база!$E$1:$E$65536</definedName>
    <definedName name="дж">[7]Вспомогательный!$D$36</definedName>
    <definedName name="дж1">[7]Вспомогательный!$D$38</definedName>
    <definedName name="дир">[11]СметаСводная!$C$11</definedName>
    <definedName name="док">'[12]сводная (2)'!$D$8</definedName>
    <definedName name="дтс">'[13]СметаСводная Риж'!$C$9</definedName>
    <definedName name="жж">[7]Вспомогательный!$D$80</definedName>
    <definedName name="жжжжжж">[4]Коэффициенты!$A$1:$A$65536</definedName>
    <definedName name="жжжжжжжжжжжжжжжжж">[4]Коэффициенты!$A$1:$A$65536</definedName>
    <definedName name="_xlnm.Print_Titles" localSheetId="1">'№1_Предвар.'!$18:$18</definedName>
    <definedName name="_xlnm.Print_Titles" localSheetId="10">'№10_ОСОКН(изыск.)'!$16:$16</definedName>
    <definedName name="_xlnm.Print_Titles" localSheetId="11">№11_ОСАОН!$16:$16</definedName>
    <definedName name="_xlnm.Print_Titles" localSheetId="12">'№12_дем.матер.'!$20:$20</definedName>
    <definedName name="_xlnm.Print_Titles" localSheetId="13">'№13_ПД(реставрация)'!$16:$16</definedName>
    <definedName name="_xlnm.Print_Titles" localSheetId="14">'№14_ПД(приспособл.)'!$16:$16</definedName>
    <definedName name="_xlnm.Print_Titles" localSheetId="15">'№15_РД(реставрация)'!$16:$16</definedName>
    <definedName name="_xlnm.Print_Titles" localSheetId="16">'№16_РД(приспособл.)'!$16:$16</definedName>
    <definedName name="_xlnm.Print_Titles" localSheetId="17">'№17_Техрегл.'!$20:$20</definedName>
    <definedName name="_xlnm.Print_Titles" localSheetId="18">№18_ТОБЭ!$20:$20</definedName>
    <definedName name="_xlnm.Print_Titles" localSheetId="19">№19_СТУ!$20:$20</definedName>
    <definedName name="_xlnm.Print_Titles" localSheetId="2">№2_КНИ!$16:$16</definedName>
    <definedName name="_xlnm.Print_Titles" localSheetId="20">№20_ОСОКН!$16:$16</definedName>
    <definedName name="_xlnm.Print_Titles" localSheetId="21">№21_ГИКЭ!$16:$16</definedName>
    <definedName name="_xlnm.Print_Titles" localSheetId="22">№22_ВУЦ!$20:$20</definedName>
    <definedName name="_xlnm.Print_Titles" localSheetId="23">№23_КР!$16:$16</definedName>
    <definedName name="_xlnm.Print_Titles" localSheetId="25">№24_ИЭИ!$19:$19</definedName>
    <definedName name="_xlnm.Print_Titles" localSheetId="26">'№25_инж.обсл.и обмеры'!$17:$17</definedName>
    <definedName name="_xlnm.Print_Titles" localSheetId="27">№26_ЭП!$16:$16</definedName>
    <definedName name="_xlnm.Print_Titles" localSheetId="28">'№27_Культ.слой'!$16:$16</definedName>
    <definedName name="_xlnm.Print_Titles" localSheetId="3">№3_геодезия!$19:$19</definedName>
    <definedName name="_xlnm.Print_Titles" localSheetId="4">№4_геология!$19:$19</definedName>
    <definedName name="_xlnm.Print_Titles" localSheetId="5">'№5_гидрометеор.'!$19:$19</definedName>
    <definedName name="_xlnm.Print_Titles" localSheetId="6">№6_археология!$16:$16</definedName>
    <definedName name="_xlnm.Print_Titles" localSheetId="7">'№7_обслед..живоп.'!$16:$16</definedName>
    <definedName name="_xlnm.Print_Titles" localSheetId="8">'№8_обслед.грунт.'!$19:$19</definedName>
    <definedName name="_xlnm.Print_Titles" localSheetId="9">'№9_коррект.ПО'!$18:$18</definedName>
    <definedName name="_xlnm.Print_Titles" localSheetId="0">'РНЦ_Благовещенский корп. (НПД)'!$13:$13</definedName>
    <definedName name="ЗАКАЗЧИК">[14]сводная!$D$11</definedName>
    <definedName name="Зел">'[15]Смета сводная (список)'!$D$6</definedName>
    <definedName name="зит">'[16]СВОДКА '!$E$8</definedName>
    <definedName name="ис">'[17]См 1 наруж.водопровод'!$D$6</definedName>
    <definedName name="ккккккккккккккк">[4]Коэффициенты!$D$1:$D$3</definedName>
    <definedName name="кол">'[18]СметаСводная кол'!$F$7</definedName>
    <definedName name="Колп">'[19]СметаСводная Колпино'!$C$5</definedName>
    <definedName name="КП111111" localSheetId="0">граж</definedName>
    <definedName name="КП111111">граж</definedName>
    <definedName name="Кра">[20]СметаСводная!$E$6</definedName>
    <definedName name="Крек">'[6]Лист опроса'!$B$17</definedName>
    <definedName name="Крп">'[6]Лист опроса'!$B$19</definedName>
    <definedName name="Курс_доллара">'[21]Курс доллара'!$A$2</definedName>
    <definedName name="Кэл">'[6]Лист опроса'!$B$20</definedName>
    <definedName name="ЛенЗина">'[22]КП Лен-Зина'!$B$11</definedName>
    <definedName name="лес">'[23]сводная лес угвэ'!$D$8</definedName>
    <definedName name="лл">[7]Вспомогательный!$D$78</definedName>
    <definedName name="ллллллл">[4]база!$E$1:$E$65536</definedName>
    <definedName name="Мак">[24]сводная!$D$7</definedName>
    <definedName name="мж1">'[25]СметаСводная 1 оч'!$D$6</definedName>
    <definedName name="мичм">[26]сводная!$D$8</definedName>
    <definedName name="муж">'[27]СметаСводная П'!$E$6</definedName>
    <definedName name="наз">'[28]СВОДКА развязка 1'!$E$8</definedName>
    <definedName name="назв">'[29]2. См2 инв'!$F$6</definedName>
    <definedName name="НДС">'[30]1.геология аква'!$F$99</definedName>
    <definedName name="НК">'[31]См 1 наруж.водопровод'!$D$6</definedName>
    <definedName name="Нсапк">'[6]Лист опроса'!$B$34</definedName>
    <definedName name="Нсстр">'[6]Лист опроса'!$B$32</definedName>
    <definedName name="обл">'[32]Смета сводная (список)'!$E$6</definedName>
    <definedName name="_xlnm.Print_Area" localSheetId="0">'РНЦ_Благовещенский корп. (НПД)'!$A$1:$D$58</definedName>
    <definedName name="ОБЪЕКТ">[14]сводная!$D$7</definedName>
    <definedName name="ок">'[33]СметаСводная Рыб'!$C$9</definedName>
    <definedName name="ооо">[11]СметаСводная!$C$9</definedName>
    <definedName name="оч">'[28]СВОДКА развязка 1'!$E$9</definedName>
    <definedName name="п">[4]Коэффициенты!$A$1:$A$65536</definedName>
    <definedName name="пет">[34]сводная!$E$8</definedName>
    <definedName name="Пкр">'[6]Лист опроса'!$B$41</definedName>
    <definedName name="План">'[35]Смета 7'!$F$1</definedName>
    <definedName name="площадь">[4]Коэффициенты!$D$1:$D$3</definedName>
    <definedName name="Побв">[36]сводная!$D$6</definedName>
    <definedName name="ПОДРЯДЧИК">[14]сводная!$D$9</definedName>
    <definedName name="приб">[37]сводная!$D$7</definedName>
    <definedName name="прибл">[38]сводная!$E$10</definedName>
    <definedName name="прим">[11]СметаСводная!$C$7</definedName>
    <definedName name="про">'[39]сводная (2)'!$D$7</definedName>
    <definedName name="проект">'[40]СметаСводная павильон'!$D$6</definedName>
    <definedName name="Прот">'[6]Лист опроса'!$B$6</definedName>
    <definedName name="пус">[41]сводная!$E$8</definedName>
    <definedName name="пуш">'[42]СметаСводная пуш'!$F$7</definedName>
    <definedName name="р">'[43]АД (Р)'!$C$9</definedName>
    <definedName name="Разработка_проекта__Строительство_подземного_пешеходного_перехода_у_ст._метро__Гражданский_проспект" localSheetId="0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счёт1">'[44]Смета 7'!$F$1</definedName>
    <definedName name="рига">'[45]СметаСводная снег'!$E$7</definedName>
    <definedName name="РПР">'[46]СметаСводная п54'!$E$7</definedName>
    <definedName name="рррр">[4]база!$E$1:$E$65536</definedName>
    <definedName name="ррррррррр">[4]Коэффициенты!$D$1:$D$3</definedName>
    <definedName name="рррррррррррр">[4]Коэффициенты!$A$1:$A$65536</definedName>
    <definedName name="ррррррррррррррр">[4]Коэффициенты!$A$1:$A$65536</definedName>
    <definedName name="ррррррррррррррррррррррр">[4]Коэффициенты!$A$1:$A$65536</definedName>
    <definedName name="рррррррррррррррррррррррррррр">[4]Коэффициенты!$A$1:$A$65536</definedName>
    <definedName name="СВсм">[7]Вспомогательный!$D$36</definedName>
    <definedName name="се">'[47]СметаСводная се'!$F$7</definedName>
    <definedName name="СЗИТ">[48]СВОДКА!$E$11</definedName>
    <definedName name="СлБуд">'[49]КП Сл-Будап'!$B$11</definedName>
    <definedName name="См6">'[50]Смета 7'!$F$1</definedName>
    <definedName name="Смета_2">'[44]Смета 7'!$F$1</definedName>
    <definedName name="Смета11">'[51]Смета 7'!$F$1</definedName>
    <definedName name="Смета21">'[52]Смета 7'!$F$1</definedName>
    <definedName name="Смета3">[7]Вспомогательный!$D$78</definedName>
    <definedName name="сроки">[4]Коэффициенты!$A$1:$A$65536</definedName>
    <definedName name="Ст">[43]АД!$A$9</definedName>
    <definedName name="Станц10">'[6]Лист опроса'!$B$23</definedName>
    <definedName name="Стр10">'[6]Лист опроса'!$B$24</definedName>
    <definedName name="СтрАУ">'[6]Лист опроса'!$B$12</definedName>
    <definedName name="СтрДУ">'[6]Лист опроса'!$B$11</definedName>
    <definedName name="Стрелки">'[6]Лист опроса'!$B$10</definedName>
    <definedName name="титул">'[53]АКТ ВЫБОРА'!$D$6</definedName>
    <definedName name="уууууууууууууууууууууу">[4]Коэффициенты!$D$1:$D$3</definedName>
    <definedName name="фф">[4]Коэффициенты!$D$1:$D$3</definedName>
    <definedName name="ффффффффффффффффффф">[4]база!$E$1:$E$65536</definedName>
    <definedName name="ЭКСПО" localSheetId="0">граж</definedName>
    <definedName name="ЭКСПО">граж</definedName>
    <definedName name="ЭКСПОФОРУМ" localSheetId="0">граж</definedName>
    <definedName name="ЭКСПОФОРУМ">граж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2" i="1" l="1"/>
  <c r="C49" i="1"/>
  <c r="C45" i="1"/>
  <c r="C32" i="1"/>
  <c r="C39" i="1"/>
  <c r="I47" i="41"/>
  <c r="I46" i="41"/>
  <c r="I55" i="39"/>
  <c r="I54" i="39"/>
  <c r="I53" i="39"/>
  <c r="I52" i="39"/>
  <c r="I51" i="39"/>
  <c r="C41" i="1"/>
  <c r="C29" i="1"/>
  <c r="C23" i="1"/>
  <c r="C33" i="1"/>
  <c r="G21" i="56"/>
  <c r="G24" i="56" s="1"/>
  <c r="G29" i="56" s="1"/>
  <c r="G30" i="56" l="1"/>
  <c r="G32" i="56" s="1"/>
  <c r="G33" i="56" l="1"/>
  <c r="G34" i="56" s="1"/>
  <c r="G31" i="56"/>
  <c r="I52" i="55"/>
  <c r="I59" i="55" s="1"/>
  <c r="I60" i="55" s="1"/>
  <c r="I46" i="55"/>
  <c r="I36" i="55"/>
  <c r="I30" i="55"/>
  <c r="I24" i="55"/>
  <c r="I18" i="55"/>
  <c r="I42" i="55" s="1"/>
  <c r="I43" i="55" s="1"/>
  <c r="I61" i="55" l="1"/>
  <c r="I62" i="55" s="1"/>
  <c r="I63" i="55" s="1"/>
  <c r="I24" i="54"/>
  <c r="I21" i="54"/>
  <c r="I27" i="54" s="1"/>
  <c r="I28" i="54" s="1"/>
  <c r="I29" i="54" s="1"/>
  <c r="I30" i="54" s="1"/>
  <c r="I18" i="54"/>
  <c r="I56" i="53"/>
  <c r="I48" i="53"/>
  <c r="I34" i="53"/>
  <c r="I18" i="53"/>
  <c r="I61" i="53" s="1"/>
  <c r="I62" i="53" s="1"/>
  <c r="I63" i="53" s="1"/>
  <c r="G81" i="52" l="1"/>
  <c r="G75" i="52"/>
  <c r="G79" i="52" s="1"/>
  <c r="G71" i="52"/>
  <c r="G68" i="52"/>
  <c r="G69" i="52" s="1"/>
  <c r="G64" i="52"/>
  <c r="G61" i="52"/>
  <c r="G57" i="52"/>
  <c r="G80" i="52" s="1"/>
  <c r="G50" i="52"/>
  <c r="G45" i="52"/>
  <c r="G41" i="52"/>
  <c r="G37" i="52"/>
  <c r="G32" i="52"/>
  <c r="G25" i="52"/>
  <c r="G53" i="52" s="1"/>
  <c r="G21" i="52"/>
  <c r="G54" i="52" l="1"/>
  <c r="G55" i="52" s="1"/>
  <c r="G82" i="52"/>
  <c r="G83" i="52" s="1"/>
  <c r="G85" i="52" l="1"/>
  <c r="G86" i="52" l="1"/>
  <c r="G88" i="52" s="1"/>
  <c r="G89" i="52" s="1"/>
  <c r="G90" i="52" s="1"/>
  <c r="G91" i="52" s="1"/>
  <c r="G87" i="52"/>
  <c r="I79" i="38" l="1"/>
  <c r="I78" i="38"/>
  <c r="I77" i="38"/>
  <c r="C36" i="1"/>
  <c r="I34" i="26"/>
  <c r="I33" i="26"/>
  <c r="C48" i="1"/>
  <c r="C46" i="1"/>
  <c r="C44" i="1"/>
  <c r="C43" i="1" s="1"/>
  <c r="C42" i="1"/>
  <c r="C40" i="1"/>
  <c r="C38" i="1"/>
  <c r="C37" i="1"/>
  <c r="C35" i="1"/>
  <c r="C34" i="1"/>
  <c r="C31" i="1"/>
  <c r="C30" i="1"/>
  <c r="C28" i="1"/>
  <c r="C27" i="1"/>
  <c r="C26" i="1"/>
  <c r="C25" i="1"/>
  <c r="C24" i="1"/>
  <c r="C21" i="1"/>
  <c r="C20" i="1"/>
  <c r="C17" i="1"/>
  <c r="C16" i="1"/>
  <c r="C15" i="1"/>
  <c r="E15" i="49"/>
  <c r="G12" i="49"/>
  <c r="D12" i="49"/>
  <c r="I12" i="49" s="1"/>
  <c r="G11" i="49"/>
  <c r="D11" i="49"/>
  <c r="I11" i="49" s="1"/>
  <c r="G10" i="49"/>
  <c r="D10" i="49"/>
  <c r="I10" i="49" s="1"/>
  <c r="J8" i="49"/>
  <c r="I19" i="48"/>
  <c r="I18" i="48"/>
  <c r="I17" i="48"/>
  <c r="G50" i="47"/>
  <c r="G55" i="47" s="1"/>
  <c r="G47" i="47"/>
  <c r="G44" i="47"/>
  <c r="G39" i="47"/>
  <c r="G35" i="47"/>
  <c r="G31" i="47"/>
  <c r="G29" i="47"/>
  <c r="G24" i="47"/>
  <c r="G21" i="47"/>
  <c r="G56" i="47" l="1"/>
  <c r="G58" i="47" s="1"/>
  <c r="G59" i="47" l="1"/>
  <c r="G60" i="47"/>
  <c r="G57" i="47"/>
  <c r="I23" i="46"/>
  <c r="I19" i="46"/>
  <c r="I27" i="46" s="1"/>
  <c r="I28" i="46" s="1"/>
  <c r="I29" i="46" s="1"/>
  <c r="I30" i="46" s="1"/>
  <c r="I31" i="46" s="1"/>
  <c r="I29" i="45"/>
  <c r="I26" i="45"/>
  <c r="I23" i="45"/>
  <c r="I18" i="45"/>
  <c r="I33" i="45" s="1"/>
  <c r="I34" i="45" s="1"/>
  <c r="I35" i="45" s="1"/>
  <c r="I36" i="45" s="1"/>
  <c r="I37" i="45" s="1"/>
  <c r="G21" i="43" l="1"/>
  <c r="G24" i="43" s="1"/>
  <c r="G29" i="43" s="1"/>
  <c r="G30" i="43" l="1"/>
  <c r="G31" i="43" s="1"/>
  <c r="G32" i="43" l="1"/>
  <c r="G21" i="42"/>
  <c r="G24" i="42" s="1"/>
  <c r="G29" i="42" s="1"/>
  <c r="G33" i="43" l="1"/>
  <c r="G34" i="43" s="1"/>
  <c r="G30" i="42"/>
  <c r="G32" i="42" s="1"/>
  <c r="G33" i="42" l="1"/>
  <c r="G34" i="42" s="1"/>
  <c r="G31" i="42"/>
  <c r="I40" i="41" l="1"/>
  <c r="I41" i="41" s="1"/>
  <c r="I42" i="41" s="1"/>
  <c r="I43" i="41" s="1"/>
  <c r="I18" i="41"/>
  <c r="I80" i="40"/>
  <c r="I76" i="40"/>
  <c r="I71" i="40"/>
  <c r="I67" i="40"/>
  <c r="I62" i="40"/>
  <c r="I57" i="40"/>
  <c r="I52" i="40"/>
  <c r="I47" i="40"/>
  <c r="I43" i="40"/>
  <c r="I39" i="40"/>
  <c r="I35" i="40"/>
  <c r="I31" i="40"/>
  <c r="I27" i="40"/>
  <c r="I84" i="40" s="1"/>
  <c r="I85" i="40" s="1"/>
  <c r="I86" i="40" s="1"/>
  <c r="I87" i="40" s="1"/>
  <c r="I22" i="40"/>
  <c r="I18" i="40"/>
  <c r="I18" i="39" l="1"/>
  <c r="I44" i="39" s="1"/>
  <c r="I45" i="39" s="1"/>
  <c r="I46" i="39" s="1"/>
  <c r="I47" i="39" s="1"/>
  <c r="I70" i="38"/>
  <c r="I71" i="38" s="1"/>
  <c r="I66" i="38"/>
  <c r="I63" i="38"/>
  <c r="I60" i="38"/>
  <c r="I52" i="38"/>
  <c r="I47" i="38"/>
  <c r="I57" i="38" s="1"/>
  <c r="I58" i="38" s="1"/>
  <c r="I37" i="38"/>
  <c r="I32" i="38"/>
  <c r="I27" i="38"/>
  <c r="I22" i="38"/>
  <c r="I44" i="38" s="1"/>
  <c r="I45" i="38" s="1"/>
  <c r="I72" i="38" s="1"/>
  <c r="I73" i="38" s="1"/>
  <c r="I18" i="38"/>
  <c r="G21" i="37" l="1"/>
  <c r="G24" i="37" s="1"/>
  <c r="G29" i="37" s="1"/>
  <c r="G30" i="37" l="1"/>
  <c r="G32" i="37" s="1"/>
  <c r="G34" i="37" l="1"/>
  <c r="G33" i="37"/>
  <c r="G31" i="37"/>
  <c r="I52" i="35"/>
  <c r="I46" i="35"/>
  <c r="I59" i="35" s="1"/>
  <c r="I60" i="35" s="1"/>
  <c r="I36" i="35"/>
  <c r="I30" i="35"/>
  <c r="I24" i="35"/>
  <c r="I18" i="35"/>
  <c r="I42" i="35" s="1"/>
  <c r="I43" i="35" s="1"/>
  <c r="I61" i="35" s="1"/>
  <c r="I62" i="35" s="1"/>
  <c r="I63" i="35" s="1"/>
  <c r="I45" i="34" l="1"/>
  <c r="I46" i="34" s="1"/>
  <c r="I41" i="34"/>
  <c r="I37" i="34"/>
  <c r="I29" i="34"/>
  <c r="I26" i="34"/>
  <c r="I23" i="34"/>
  <c r="I18" i="34"/>
  <c r="I33" i="34" s="1"/>
  <c r="I34" i="34" s="1"/>
  <c r="I47" i="34" s="1"/>
  <c r="I48" i="34" s="1"/>
  <c r="I49" i="34" s="1"/>
  <c r="G43" i="33" l="1"/>
  <c r="G50" i="33" s="1"/>
  <c r="G51" i="33" s="1"/>
  <c r="G40" i="33"/>
  <c r="G41" i="33" s="1"/>
  <c r="G32" i="33"/>
  <c r="G27" i="33"/>
  <c r="G20" i="33"/>
  <c r="G52" i="33" l="1"/>
  <c r="G53" i="33" s="1"/>
  <c r="G41" i="32"/>
  <c r="G34" i="32"/>
  <c r="G38" i="32" s="1"/>
  <c r="G39" i="32" s="1"/>
  <c r="G31" i="32"/>
  <c r="G32" i="32" s="1"/>
  <c r="G21" i="32"/>
  <c r="G28" i="32" s="1"/>
  <c r="G29" i="32" s="1"/>
  <c r="G42" i="32" s="1"/>
  <c r="G43" i="32" s="1"/>
  <c r="I129" i="31"/>
  <c r="I124" i="31"/>
  <c r="I119" i="31"/>
  <c r="I114" i="31"/>
  <c r="I109" i="31"/>
  <c r="I104" i="31"/>
  <c r="I99" i="31"/>
  <c r="I94" i="31"/>
  <c r="I89" i="31"/>
  <c r="I83" i="31"/>
  <c r="I78" i="31"/>
  <c r="I72" i="31"/>
  <c r="I63" i="31"/>
  <c r="I54" i="31"/>
  <c r="I46" i="31"/>
  <c r="I38" i="31"/>
  <c r="I31" i="31"/>
  <c r="I24" i="31"/>
  <c r="I17" i="31"/>
  <c r="I135" i="31" s="1"/>
  <c r="I136" i="31" s="1"/>
  <c r="I137" i="31" s="1"/>
  <c r="I36" i="30" l="1"/>
  <c r="I33" i="30"/>
  <c r="I30" i="30"/>
  <c r="I39" i="30" s="1"/>
  <c r="I40" i="30" s="1"/>
  <c r="I27" i="30"/>
  <c r="I28" i="30" s="1"/>
  <c r="I24" i="30"/>
  <c r="I21" i="30"/>
  <c r="I22" i="30" s="1"/>
  <c r="I18" i="30"/>
  <c r="I41" i="30" l="1"/>
  <c r="I42" i="30" s="1"/>
  <c r="I43" i="30" s="1"/>
  <c r="G57" i="29"/>
  <c r="G60" i="29" s="1"/>
  <c r="G54" i="29"/>
  <c r="G51" i="29"/>
  <c r="G48" i="29"/>
  <c r="G45" i="29"/>
  <c r="G42" i="29"/>
  <c r="G43" i="29" s="1"/>
  <c r="G36" i="29"/>
  <c r="G33" i="29"/>
  <c r="G30" i="29"/>
  <c r="G27" i="29"/>
  <c r="G24" i="29"/>
  <c r="G21" i="29"/>
  <c r="G39" i="29" s="1"/>
  <c r="G40" i="29" s="1"/>
  <c r="G126" i="28"/>
  <c r="G119" i="28"/>
  <c r="G113" i="28"/>
  <c r="G107" i="28"/>
  <c r="G101" i="28"/>
  <c r="G123" i="28" s="1"/>
  <c r="G124" i="28" s="1"/>
  <c r="G92" i="28"/>
  <c r="G86" i="28"/>
  <c r="G80" i="28"/>
  <c r="G72" i="28"/>
  <c r="G66" i="28"/>
  <c r="G98" i="28" s="1"/>
  <c r="G99" i="28" s="1"/>
  <c r="G54" i="28"/>
  <c r="G48" i="28"/>
  <c r="G41" i="28"/>
  <c r="G34" i="28"/>
  <c r="G27" i="28"/>
  <c r="G21" i="28"/>
  <c r="G60" i="28" s="1"/>
  <c r="G61" i="29" l="1"/>
  <c r="G62" i="29" s="1"/>
  <c r="G64" i="29"/>
  <c r="G66" i="29" s="1"/>
  <c r="G61" i="28"/>
  <c r="G37" i="27"/>
  <c r="G34" i="27"/>
  <c r="G40" i="27" s="1"/>
  <c r="G31" i="27"/>
  <c r="G32" i="27" s="1"/>
  <c r="G24" i="27"/>
  <c r="G21" i="27"/>
  <c r="G28" i="27" s="1"/>
  <c r="G29" i="27" s="1"/>
  <c r="I164" i="26"/>
  <c r="I171" i="26" s="1"/>
  <c r="I172" i="26" s="1"/>
  <c r="I161" i="26"/>
  <c r="I162" i="26" s="1"/>
  <c r="I154" i="26"/>
  <c r="I147" i="26"/>
  <c r="I141" i="26"/>
  <c r="I131" i="26"/>
  <c r="I138" i="26" s="1"/>
  <c r="I139" i="26" s="1"/>
  <c r="I124" i="26"/>
  <c r="I116" i="26"/>
  <c r="I108" i="26"/>
  <c r="I101" i="26"/>
  <c r="I95" i="26"/>
  <c r="I90" i="26"/>
  <c r="I83" i="26"/>
  <c r="I77" i="26"/>
  <c r="I72" i="26"/>
  <c r="I65" i="26"/>
  <c r="I58" i="26"/>
  <c r="I50" i="26"/>
  <c r="I43" i="26"/>
  <c r="I36" i="26"/>
  <c r="I113" i="26" s="1"/>
  <c r="I114" i="26" s="1"/>
  <c r="I25" i="26"/>
  <c r="I18" i="26"/>
  <c r="I32" i="26" s="1"/>
  <c r="G65" i="29" l="1"/>
  <c r="G67" i="29" s="1"/>
  <c r="G68" i="29" s="1"/>
  <c r="G62" i="28"/>
  <c r="G63" i="28"/>
  <c r="G64" i="28" s="1"/>
  <c r="G127" i="28" s="1"/>
  <c r="G45" i="27"/>
  <c r="G44" i="27"/>
  <c r="G46" i="27"/>
  <c r="G42" i="27"/>
  <c r="G41" i="27"/>
  <c r="I173" i="26"/>
  <c r="I174" i="26" s="1"/>
  <c r="C22" i="1" s="1"/>
  <c r="C19" i="1" s="1"/>
  <c r="G69" i="29" l="1"/>
  <c r="G70" i="29"/>
  <c r="G71" i="29" s="1"/>
  <c r="G128" i="28"/>
  <c r="G129" i="28" s="1"/>
  <c r="G130" i="28" s="1"/>
  <c r="G47" i="27"/>
  <c r="G48" i="27" s="1"/>
  <c r="G113" i="25"/>
  <c r="G107" i="25"/>
  <c r="G101" i="25"/>
  <c r="G94" i="25"/>
  <c r="G88" i="25"/>
  <c r="G82" i="25"/>
  <c r="G74" i="25"/>
  <c r="G67" i="25"/>
  <c r="G61" i="25"/>
  <c r="G119" i="25" s="1"/>
  <c r="G120" i="25" s="1"/>
  <c r="G51" i="25"/>
  <c r="G42" i="25"/>
  <c r="G33" i="25"/>
  <c r="G24" i="25"/>
  <c r="G39" i="25" s="1"/>
  <c r="G40" i="25" s="1"/>
  <c r="G21" i="25"/>
  <c r="G22" i="25" s="1"/>
  <c r="G49" i="27" l="1"/>
  <c r="G50" i="27" s="1"/>
  <c r="G51" i="27" s="1"/>
  <c r="G121" i="25"/>
  <c r="G122" i="25" s="1"/>
  <c r="C18" i="1" l="1"/>
  <c r="C14" i="1" s="1"/>
  <c r="C47" i="1" l="1"/>
  <c r="C50" i="1" s="1"/>
  <c r="C10" i="1" l="1"/>
</calcChain>
</file>

<file path=xl/sharedStrings.xml><?xml version="1.0" encoding="utf-8"?>
<sst xmlns="http://schemas.openxmlformats.org/spreadsheetml/2006/main" count="3917" uniqueCount="1138">
  <si>
    <t xml:space="preserve"> Генеральный директор</t>
  </si>
  <si>
    <t xml:space="preserve"> Фонда по сохранению и развитию </t>
  </si>
  <si>
    <t xml:space="preserve"> Соловецкого архипелага</t>
  </si>
  <si>
    <t xml:space="preserve">    __________________ А.В. Ходос</t>
  </si>
  <si>
    <t xml:space="preserve">РАСЧЕТ НАЧАЛЬНОЙ (МАКСИМАЛЬНОЙ) ЦЕНЫ КОНТРАКТА </t>
  </si>
  <si>
    <t>Наименование работ</t>
  </si>
  <si>
    <t>1</t>
  </si>
  <si>
    <t>2</t>
  </si>
  <si>
    <t>Карман Л.Н.</t>
  </si>
  <si>
    <t xml:space="preserve">Проверил:  </t>
  </si>
  <si>
    <t xml:space="preserve">Начальник центра сметно-договорной работы </t>
  </si>
  <si>
    <t>Ивец В. М.</t>
  </si>
  <si>
    <t>УТВЕРЖДАЮ</t>
  </si>
  <si>
    <t>Составил:</t>
  </si>
  <si>
    <t>НДС не облагается на основании пп.15 п.2 статьи 149 части II НК РФ</t>
  </si>
  <si>
    <t xml:space="preserve">                                                                                                          «______» ________________ 2021 г.</t>
  </si>
  <si>
    <t>№</t>
  </si>
  <si>
    <t>п/п</t>
  </si>
  <si>
    <t>Примечание</t>
  </si>
  <si>
    <t>Расчет командировочных расходов</t>
  </si>
  <si>
    <t>Стоимость работ, в руб.</t>
  </si>
  <si>
    <t>Главный специалист группы сметных расчетов                                 центра сметно-договорной работы</t>
  </si>
  <si>
    <t>руб.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</si>
  <si>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</si>
  <si>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</si>
  <si>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</si>
  <si>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</si>
  <si>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</si>
  <si>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</si>
  <si>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</si>
  <si>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</si>
  <si>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</si>
  <si>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</si>
  <si>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</si>
  <si>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</si>
  <si>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смета №1</t>
  </si>
  <si>
    <t>смета №5</t>
  </si>
  <si>
    <t>смета №6</t>
  </si>
  <si>
    <t>смета №8</t>
  </si>
  <si>
    <t>смета №10</t>
  </si>
  <si>
    <t>15</t>
  </si>
  <si>
    <t>25</t>
  </si>
  <si>
    <t>26</t>
  </si>
  <si>
    <t>27</t>
  </si>
  <si>
    <t>16</t>
  </si>
  <si>
    <t>19</t>
  </si>
  <si>
    <t>17</t>
  </si>
  <si>
    <t>18</t>
  </si>
  <si>
    <t>20</t>
  </si>
  <si>
    <t>28</t>
  </si>
  <si>
    <t>21</t>
  </si>
  <si>
    <t>22</t>
  </si>
  <si>
    <t>23</t>
  </si>
  <si>
    <t>24</t>
  </si>
  <si>
    <t>смета №2</t>
  </si>
  <si>
    <t>смета №3</t>
  </si>
  <si>
    <t>смета №4</t>
  </si>
  <si>
    <t>смета №19</t>
  </si>
  <si>
    <t>смета №17</t>
  </si>
  <si>
    <t>смета №18</t>
  </si>
  <si>
    <t>1. Предварительные работы , в том числе:</t>
  </si>
  <si>
    <t>Сбор исходных данных для проектирования в уполномоченных органах государственной власти и Пользователя</t>
  </si>
  <si>
    <t>Разработка раздела "Обеспечение сохранности объекта археологического наследия" с ГИКЭ</t>
  </si>
  <si>
    <t>Археологические изыскания</t>
  </si>
  <si>
    <t>Технологический регламент по обращению с отходами от производства работ</t>
  </si>
  <si>
    <r>
      <t>4.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4"/>
        <color theme="1"/>
        <rFont val="Times New Roman"/>
        <family val="1"/>
        <charset val="204"/>
      </rPr>
      <t>Экспертиза проектной документации, в том числе:</t>
    </r>
  </si>
  <si>
    <t>Государственная историко-культурная экспертиза проектной документации.</t>
  </si>
  <si>
    <t>ИТОГО:</t>
  </si>
  <si>
    <t>ВСЕГО по расчету:</t>
  </si>
  <si>
    <t>Государственная (негосударственная) экспертиза проектной документации и результатов инженерных изысканий, в том числе сметной документации</t>
  </si>
  <si>
    <t>Обследование грунтов и основания.</t>
  </si>
  <si>
    <t>6. Прочие расходы, в том числе:</t>
  </si>
  <si>
    <t>Непредвиденные расходы - 2%</t>
  </si>
  <si>
    <t>Предварительные исследования</t>
  </si>
  <si>
    <t>Проект первоочередных противоаварийных работ</t>
  </si>
  <si>
    <t>Инженерно-геодезические изыскания</t>
  </si>
  <si>
    <t>Корректировка предмета охраны.</t>
  </si>
  <si>
    <t>Перечень требований к обеспечению безопасной эксплуатации объекта культурного наследия</t>
  </si>
  <si>
    <r>
      <t>2.</t>
    </r>
    <r>
      <rPr>
        <b/>
        <sz val="7"/>
        <color theme="1"/>
        <rFont val="Times New Roman"/>
        <family val="1"/>
        <charset val="204"/>
      </rPr>
      <t xml:space="preserve">   </t>
    </r>
    <r>
      <rPr>
        <b/>
        <sz val="14"/>
        <color theme="1"/>
        <rFont val="Times New Roman"/>
        <family val="1"/>
        <charset val="204"/>
      </rPr>
      <t>Комплексные научные исследования (корректировка), в том числе:</t>
    </r>
  </si>
  <si>
    <t>Инженерно-геологические изыскания</t>
  </si>
  <si>
    <t>смета №9</t>
  </si>
  <si>
    <t>смета №14</t>
  </si>
  <si>
    <t xml:space="preserve">Корректировка проектной документации на реставрацию </t>
  </si>
  <si>
    <t>Корректировка проектной документации на приспособление</t>
  </si>
  <si>
    <t xml:space="preserve">Экспертиза сметной стоимости первоочередных противоаварийных работ </t>
  </si>
  <si>
    <t>смета №20</t>
  </si>
  <si>
    <t>30</t>
  </si>
  <si>
    <t>Разработка научно-проектной документации для проведения работ по сохранению объекта культурного наследия федерального значения «Благовещенский корпус», конец XVI XIX века.</t>
  </si>
  <si>
    <t>смета №11</t>
  </si>
  <si>
    <t>Разработка раздела проектной документации об обеспечении сохранности объектов культурного наследия</t>
  </si>
  <si>
    <t>Раздел "Оценка воздействия на всемирную универсальную ценность объектов всемирного наследия"</t>
  </si>
  <si>
    <t>смета №21</t>
  </si>
  <si>
    <t>смета №22</t>
  </si>
  <si>
    <t>Историко-архивные и библиографические исследования. Историко-архитектурные натурные исследования: архитектурно-археологические обмеры, обмеры конструкций, зондажи, шурфы. Химико-технологические исследования строительных и отделочных материалов, разработка методик реставрации. Инженерно-технические исследования</t>
  </si>
  <si>
    <t>31</t>
  </si>
  <si>
    <t>32</t>
  </si>
  <si>
    <r>
      <t>3.</t>
    </r>
    <r>
      <rPr>
        <b/>
        <sz val="7"/>
        <color theme="1"/>
        <rFont val="Times New Roman"/>
        <family val="1"/>
        <charset val="204"/>
      </rPr>
      <t>  </t>
    </r>
    <r>
      <rPr>
        <b/>
        <sz val="14"/>
        <color theme="1"/>
        <rFont val="Times New Roman"/>
        <family val="1"/>
        <charset val="204"/>
      </rPr>
      <t>  Разработка проектной документации, в том числе:</t>
    </r>
  </si>
  <si>
    <r>
      <t>5.</t>
    </r>
    <r>
      <rPr>
        <b/>
        <sz val="7"/>
        <color theme="1"/>
        <rFont val="Times New Roman"/>
        <family val="1"/>
        <charset val="204"/>
      </rPr>
      <t>   </t>
    </r>
    <r>
      <rPr>
        <b/>
        <sz val="14"/>
        <color theme="1"/>
        <rFont val="Times New Roman"/>
        <family val="1"/>
        <charset val="204"/>
      </rPr>
      <t> Разработка рабочей документации</t>
    </r>
  </si>
  <si>
    <t xml:space="preserve">Сметный расчет составлен в ценах IV кв. 2021 г.                                                                                                        </t>
  </si>
  <si>
    <t>«Адепт: Проект в 13.10.1»
© ООО «Адепт»</t>
  </si>
  <si>
    <t>Смета №1</t>
  </si>
  <si>
    <t>на проектные (изыскательские) работы</t>
  </si>
  <si>
    <t>по объекту:</t>
  </si>
  <si>
    <t>Наименование предприятия, здания, сооружения, стадии проектирования, этапа, вида проектных или изыскательских работ</t>
  </si>
  <si>
    <t>Предварительные работы.</t>
  </si>
  <si>
    <t>Наименование проектной (изыскательской) организации</t>
  </si>
  <si>
    <t>Наименование организации заказчика</t>
  </si>
  <si>
    <t>Сметный расчет составлен по следующим документам: Методические рекомендации по определению стоимости научно-проектных работ для реставрации недвижимых памятников истории и культуры. (РНиП) 1993 г. (Приказ МК РФ от 28.12.92 №468)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</si>
  <si>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</si>
  <si>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</si>
  <si>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</si>
  <si>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Ед.
Изм.</t>
  </si>
  <si>
    <t>Кол-
во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</si>
  <si>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</si>
  <si>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</si>
  <si>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Раздел</t>
  </si>
  <si>
    <t>Исходно-разрешительная документация</t>
  </si>
  <si>
    <t>1.1</t>
  </si>
  <si>
    <t>Сбор исходно-разрешительной документации</t>
  </si>
  <si>
    <t>Методические рекомендации по определению стоимости научно-проектных работ для реставрации недвижимых памятников истории и культуры (РНиП 4.05.01-93 ). ОУ, п.2.4</t>
  </si>
  <si>
    <t>45*540*4</t>
  </si>
  <si>
    <t>1.2</t>
  </si>
  <si>
    <t>Итого Исходно-разрешительная документация:</t>
  </si>
  <si>
    <t>1.3</t>
  </si>
  <si>
    <t>Всего Исходно-разрешительная документация:</t>
  </si>
  <si>
    <t>2.1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</si>
  <si>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1.2 Предварительные работы п.4
Тчд =  Тчд1 + Тчд2 + Тчд3 + Тчд4 + Тчд5 + Тчд6 + Тчд7  =
 1.74 + 3.27 + 4.62 + 6.02 + 4.25 + 2.35 + 3.2  = 25.45(чел.дн)
Ознакомление с "Заданием", предъявленной "Заказчиком" документацией и с памятником в натуре Тчд1 = 1.74(чел.дн)
Определение физического объема памятника Тчд2 = 3.27(чел.дн)
Составление актов технического состояния и утрат первоначального облика Тчд3 = 4.62(чел.дн)
Предварительное инженерное заключение и рекомендации Тчд4 = 6.02(чел.дн)
Краткие историко-архивные и библиографические сведения Тчд5 = 4.25(чел.дн)
Предварительные соображения по намечаемым реставрационным работам Тчд6 = 2.35(чел.дн)
Программа научно-проектных работ Тчд7 = 3.2(чел.дн)
Осн. показ. Xзад=1 (памятник);
Счд = 540 (руб.);</t>
  </si>
  <si>
    <t>памятник</t>
  </si>
  <si>
    <t>Тчд * Xзад * Счд * Ктек * K1 * K2
25.45 * 1 * 540 * 4 * 1.5 * 1.2</t>
  </si>
  <si>
    <t/>
  </si>
  <si>
    <t>Коэффициенты</t>
  </si>
  <si>
    <t>инд.4кв.2011г. к 1998г. пересчета провед. научно-проектных раб.</t>
  </si>
  <si>
    <t>Ктек = 4
Письмо Минкультуры РФ от 20.12.2011 № 107-01-39/10-КЧ</t>
  </si>
  <si>
    <t>По памятникам, находящимся в аварийном состоянии к значениям применять коэффициент</t>
  </si>
  <si>
    <t>K1 = 1.5
Раздел 1 пояснения к табл. 1.2 п.3 (Ценообразующий)</t>
  </si>
  <si>
    <t>Осуществление научно-методического руководства научно-проектными работами определяется применением коэффициента ко всем видам научно-проектных работ</t>
  </si>
  <si>
    <t>K2 = 1.2
Общая часть п. 1.5 (Ценообразующий)</t>
  </si>
  <si>
    <t>Разделы документации</t>
  </si>
  <si>
    <t>1. Пол ком раб</t>
  </si>
  <si>
    <t>2.2</t>
  </si>
  <si>
    <t>Цветная фотофиксациях. Отпечаток на трехслойной бумаге. Размер негатива или отпечатка: 13х18 см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</si>
  <si>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Раздел. 6 Фотофиксация Таблица 6.4 Цветная фотофиксация п.5
Тчд=0.167 (чел.дн);
Счд=540 (руб.);
Осн. показ. Xзад=20 (негатив; слайд; отпечаток);</t>
  </si>
  <si>
    <t>негатив; слайд; отпечаток</t>
  </si>
  <si>
    <t>Тчд * Xзад * Счд * Ктек * K1
0.167 * 20 * 540 * 4 * 1.2</t>
  </si>
  <si>
    <t>K1 = 1.2
Общая часть п. 1.5 (Ценообразующий)</t>
  </si>
  <si>
    <t>2.3</t>
  </si>
  <si>
    <t>Итого Предварительные исследования:</t>
  </si>
  <si>
    <t>2.4</t>
  </si>
  <si>
    <t>Всего Предварительные исследования:</t>
  </si>
  <si>
    <t>3.1</t>
  </si>
  <si>
    <t>Обмеры конструкций. Вид чертежей: Общий вид конструкций Масштаб чертежей 1:50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</si>
  <si>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1.7 Архитектурно-археологические обмеры конструкций памятника п.1
Тчд=0.47 (чел.дн);
Счд=540 (руб.);
Осн. показ. Xзад=8 (форматка);</t>
  </si>
  <si>
    <t>форматка</t>
  </si>
  <si>
    <t>Тчд * Xзад * Счд * Ктек * K1 * K2 * K3
0.47 * 8 * 540 * 4 * 0.3 * 1.2 * 1.3</t>
  </si>
  <si>
    <t>При выполнении схематических обмеров применять коэффициент</t>
  </si>
  <si>
    <t>K1 = 0.3
Раздел 1 пояснения к табл. 1.7 п.1 (Ценообразующий)</t>
  </si>
  <si>
    <t>При наличии факторов, усложняющих производство полевых работ при исследовании памятников истории и культуры: Работа на подмостях, стремянках, лестницах - применяется коэффициент</t>
  </si>
  <si>
    <t>K3 = 1.3
Приложение 4 (Ценообразующий)</t>
  </si>
  <si>
    <t>1. Пол раб</t>
  </si>
  <si>
    <t>2. Кам раб</t>
  </si>
  <si>
    <t>3.2</t>
  </si>
  <si>
    <t>Обмеры конструкций. Вид чертежей: Детали Масштаб чертежей 1:10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</si>
  <si>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1.7 Архитектурно-археологические обмеры конструкций памятника п.2
Тчд=0.23 (чел.дн);
Счд=540 (руб.);
Осн. показ. Xзад=1 (форматка);</t>
  </si>
  <si>
    <t>Тчд * Xзад * Счд * Ктек * K1 * K2 * K3 * K4
0.23 * 1 * 540 * 4 * 0.3 * 1.2 * 1.3 * 1.5</t>
  </si>
  <si>
    <t>При изменении масштаба чертежей в графических работах: Уменьшение до 2 раз. Здания и сооружения - применяется коэффициент</t>
  </si>
  <si>
    <t>K4 = 1.5
Приложение 5 (Ценообразующий)</t>
  </si>
  <si>
    <t>3.3</t>
  </si>
  <si>
    <t>Компьютерная обработка чертежей. III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</si>
  <si>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культуры. 1993 г. Раздел 8. Геодезические и фотограмметрические методы исследования памятников и автоматизированная обработка данных. Глава 8.3. Автоматизированные методы обработки. Таблица 8.10. Преобразование и ввод графической информации с чертежей в цифровую форму для компьютерной обработки или хранения п.3
Тчд=6.0 (чел.дн);
Счд=540 (руб.);
Осн. показ. Xзад=9 (форматка (формат А4));</t>
  </si>
  <si>
    <t>форматка (формат А4)</t>
  </si>
  <si>
    <t>Тчд * Xзад * Счд * Ктек * K1
6 * 9 * 540 * 4 * 1.2</t>
  </si>
  <si>
    <t>3.4</t>
  </si>
  <si>
    <t>Общий вид конструкций Масштаб чертежей 1:50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</si>
  <si>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1.25 Инженерно-конструкторские рабочие чертежи п.1
Тчд=2.42 (чел.дн);
Счд=540 (руб.);
Осн. показ. Xзад=6 (форматка 1/8 листа ватмана);</t>
  </si>
  <si>
    <t>форматка 1/8 листа ватмана</t>
  </si>
  <si>
    <t>Тчд * Xзад * Счд * Ктек * K1 * K2
2.42 * 6 * 540 * 4 * 1.3 * 1.2</t>
  </si>
  <si>
    <t>Коэфф.перехода в тек.цены</t>
  </si>
  <si>
    <t>Ктек = 4</t>
  </si>
  <si>
    <t>При замене отдельных элементов конструкций с сопряжением их с сохраняющимися элементами применять коэффициент</t>
  </si>
  <si>
    <t>K1 = 1.3
Раздел 1 пояснения к табл. 1.25 п.1 (Ценообразующий)</t>
  </si>
  <si>
    <t>3.5</t>
  </si>
  <si>
    <t>Детали Масштаб чертежей 1:10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</si>
  <si>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1.25 Инженерно-конструкторские рабочие чертежи п.2
Тчд=1.97 (чел.дн);
Счд=540 (руб.);
Осн. показ. Xзад=2 (форматка 1/8 листа ватмана);</t>
  </si>
  <si>
    <t>Тчд * Xзад * Счд * Ктек * K1 * K2
1.97 * 2 * 540 * 4 * 1.3 * 1.2</t>
  </si>
  <si>
    <t>3.6</t>
  </si>
  <si>
    <t>Методические рекомендации по определению стоимости научно-проектных работ для реставрации недвижимых памятников истории и культуры. 1993 г. Раздел 8. Геодезические и фотограмметрические методы исследования памятников и автоматизированная обработка данных. Глава 8.3. Автоматизированные методы обработки. Таблица 8.10. Преобразование и ввод графической информации с чертежей в цифровую форму для компьютерной обработки или хранения п.3
Тчд=6.0 (чел.дн);
Счд=540 (руб.);
Осн. показ. Xзад=8 (форматка (формат А4));</t>
  </si>
  <si>
    <t>Тчд * Xзад * Счд * Ктек * K1
6 * 8 * 540 * 4 * 1.2</t>
  </si>
  <si>
    <t>3.7</t>
  </si>
  <si>
    <t>Пояснительная записка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</si>
  <si>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1.15 Составление текстовых материалов научно-проектной документации п.1
Тчд=37.35 (чел.дн);
Счд=540 (руб.);
Осн. показ. Xзад=0.2 (печатный лист);</t>
  </si>
  <si>
    <t>печатный лист</t>
  </si>
  <si>
    <t>Тчд * Xзад * Счд * Ктек * K1
37.35 * 0.2 * 540 * 4 * 1.2</t>
  </si>
  <si>
    <t>3.8</t>
  </si>
  <si>
    <t>Методические рекомендации на противоаварийный и консервационно-реставрационные работы.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</si>
  <si>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1.15 Составление текстовых материалов научно-проектной документации п.3
Тчд=53.28 (чел.дн);
Счд=540 (руб.);
Осн. показ. Xзад=0.4 (печатный лист);</t>
  </si>
  <si>
    <t>Тчд * Xзад * Счд * Ктек * K1
53.28 * 0.4 * 540 * 4 * 1.2</t>
  </si>
  <si>
    <t>3.9</t>
  </si>
  <si>
    <t>Составление ведомостей объемов работ на противоаварийные работы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</si>
  <si>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Раздел. 7 Сметные работы Таблица 7.1 Сметные работы п.1
Тчд=1.03 (чел.дн);
Счд=540 (руб.);
Осн. показ. Xзад=1.6 (10 позиций (описи или сметного расчета));</t>
  </si>
  <si>
    <t>10 позиций (описи или сметного расчета)</t>
  </si>
  <si>
    <t>Тчд * Xзад * Счд * Ктек * K1
1.03 * 1.6 * 540 * 4 * 1.2</t>
  </si>
  <si>
    <t>3.10</t>
  </si>
  <si>
    <t>Составление сметы на противоаварийные работы.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</si>
  <si>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Раздел. 7 Сметные работы Таблица 7.1 Сметные работы п.1
Тчд=0.82 (чел.дн);
Счд=540 (руб.);
Осн. показ. Xзад=3.5 (10 позиций (описи или сметного расчета));</t>
  </si>
  <si>
    <t>Тчд * Xзад * Счд * Ктек * K1
0.82 * 3.5 * 540 * 4 * 1.2</t>
  </si>
  <si>
    <t>3.11</t>
  </si>
  <si>
    <t>Объектный сводный сметный расчет.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</si>
  <si>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Раздел. 7 Сметные работы Таблица 7.1 Сметные работы п.1
Тчд=0.62 (чел.дн);
Счд=540 (руб.);
Осн. показ. Xзад=2.6 (10 позиций (описи или сметного расчета));</t>
  </si>
  <si>
    <t>Тчд * Xзад * Счд * Ктек * K1
0.62 * 2.6 * 540 * 4 * 1.2</t>
  </si>
  <si>
    <t>3.12</t>
  </si>
  <si>
    <t>Итого Проект первоочередных противоаварийных работ:</t>
  </si>
  <si>
    <t>3.13</t>
  </si>
  <si>
    <t>Всего Проект первоочередных противоаварийных работ:</t>
  </si>
  <si>
    <t>Итого по смете:</t>
  </si>
  <si>
    <t>Всего по смете:</t>
  </si>
  <si>
    <t>Всего по смете (руб.):</t>
  </si>
  <si>
    <t>Смета №2</t>
  </si>
  <si>
    <t>Комплексные научные исследования (корректировка). Историко-архитектурные натурные исследования: архитектурно-археологические обмеры, обмеры конструкций, зондажи, комплексы технологических исследований строительных и отделочных материалов, обследование инженерных систем</t>
  </si>
  <si>
    <t>Сметный расчет составлен в ценах IV кв. 2021 г.</t>
  </si>
  <si>
    <t>Историко-архивные и библиографические исследования.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</si>
  <si>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1.3 Историко-архивные и библиографические исследования и исторические записки п.1
Тчд=77.61 (чел.дн);
Счд=540 (руб.);
Осн. показ. Xзад=1 (памятник);</t>
  </si>
  <si>
    <t>Полный комплекс работ
(100%):
Тчд * Xзад * Счд * Ктек * K1 * K2
77.61 * 1 * 540 * 4 * 1.4 * 1.2</t>
  </si>
  <si>
    <t>При работе в архивах и библиотеках различных городов, применяется коэффициент</t>
  </si>
  <si>
    <t>K1 = 1.4
Раздел 1 пояснения к табл. 1.3 п.3 (Ценообразующий)</t>
  </si>
  <si>
    <t>1. Полный комплекс работ</t>
  </si>
  <si>
    <t>Историческая записка на основе опубликованных материалов.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</si>
  <si>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1.3 Историко-архивные и библиографические исследования и исторические записки п.2
Тчд=20.55 (чел.дн);
Счд=540 (руб.);
Осн. показ. Xзад=1 (памятник);</t>
  </si>
  <si>
    <t>Полный комплекс работ
(100%):
Тчд * Xзад * Счд * Ктек * K1 * K2
20.55 * 1 * 540 * 4 * 1.35 * 1.2</t>
  </si>
  <si>
    <t>При подборке иллюстративного материала для исторической записки с составлением кратких аннотаций применять коэффициент</t>
  </si>
  <si>
    <t>K1 = 1.35
Раздел 1 пояснения к табл. 1.3 п.5 (Ценообразующий)</t>
  </si>
  <si>
    <t>1.4</t>
  </si>
  <si>
    <t>Архитектурно-археологические обмеры</t>
  </si>
  <si>
    <t>Архитектурно-археологические обмеры памятника в целом - планы.II категории сложности</t>
  </si>
  <si>
    <t>1. Полевые работы</t>
  </si>
  <si>
    <t>2. Камеральные работы</t>
  </si>
  <si>
    <t>Архитектурно-археологические обмеры памятника в целом - фасады. II категории сложности</t>
  </si>
  <si>
    <t>Архитектурно-археологические обмеры памятника в целом - разрезы. II категории сложности</t>
  </si>
  <si>
    <t>Архитектурно-археологические обмеры конструкций памятника. Вид чертежей: Общий вид конструкций Масштаб чертежей 1:50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</si>
  <si>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1.7 Архитектурно-археологические обмеры конструкций памятника п.1
Тчд=0.47 (чел.дн);
Счд=540 (руб.);
Осн. показ. Xзад=16 (форматка);</t>
  </si>
  <si>
    <t>Тчд * Xзад * Счд * Ктек * K1
0.47 * 16 * 540 * 4 * 1.2</t>
  </si>
  <si>
    <t>2.5</t>
  </si>
  <si>
    <t>Архитектурно-археологические обмеры частей и элементов памятника. Вид чертежей: Фрагменты планов, фасадов, разрезов, развертки стен Масштаб чертежей 1:20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</si>
  <si>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1.8 Архитектурно-археологические обмеры частей и элементов памятника п.1
Тчд=1.25 (чел.дн);
Счд=540 (руб.);
Осн. показ. Xзад=16 (форматка);</t>
  </si>
  <si>
    <t>Тчд * Xзад * Счд * Ктек * K1
1.25 * 16 * 540 * 4 * 1.2</t>
  </si>
  <si>
    <t>2.6</t>
  </si>
  <si>
    <t>Компьютерная обработка чертежей.</t>
  </si>
  <si>
    <t>Методические рекомендации по определению стоимости научно-проектных работ для реставрации недвижимых памятников истории и культуры. 1993 г. Раздел 8. Геодезические и фотограмметрические методы исследования памятников и автоматизированная обработка данных. Глава 8.3. Автоматизированные методы обработки. Таблица 8.10. Преобразование и ввод графической информации с чертежей в цифровую форму для компьютерной обработки или хранения п.3
Тчд=6.0 (чел.дн);
Счд=540 (руб.);
Осн. показ. Xзад=32 (форматка (формат А4));</t>
  </si>
  <si>
    <t>Полный комплекс работ
(100%):
Тчд * Xзад * Счд * Ктек
6 * 32 * 540 * 4</t>
  </si>
  <si>
    <t>2.7</t>
  </si>
  <si>
    <t>Зондаж. Глубина зондажа: более 0.3 м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</si>
  <si>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1.10 Зондажи п.1
Тчд=1.08 (чел.дн);
Счд=540 (руб.);
Осн. показ. Xзад=5 (1 зондаж площадью до 1 м2);</t>
  </si>
  <si>
    <t>Полный комплекс работ
(100%):
Тчд * Xзад * Счд * Ктек * K1
1.08 * 5 * 540 * 4 * 1.2</t>
  </si>
  <si>
    <t>2.8</t>
  </si>
  <si>
    <t>Фиксация в масштабе 1:20 по зондажу с составлением акта исследования. Глубина зондажа: более 0.3 м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</si>
  <si>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1.10 Зондажи п.2
Тчд=1.27 (чел.дн);
Счд=540 (руб.);
Осн. показ. Xзад=10 (форматка);</t>
  </si>
  <si>
    <t>Полный комплекс работ
(100%):
Тчд * Xзад * Счд * Ктек * K1 * K2
1.27 * 10 * 540 * 4 * 1.2 * 1.5</t>
  </si>
  <si>
    <t>K2 = 1.5
Приложение 5 (Ценообразующий)</t>
  </si>
  <si>
    <t>2.9</t>
  </si>
  <si>
    <t>Преобразование и ввод графической информации с чертежей в цифровую форму для компьютерной обработки или хранения III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</si>
  <si>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культуры. 1993 г. Раздел 8. Геодезические и фотограмметрические методы исследования памятников и автоматизированная обработка данных. Глава 8.3. Автоматизированные методы обработки. Таблица 8.10. Преобразование и ввод графической информации с чертежей в цифровую форму для компьютерной обработки или хранения п.3
Тчд=6.0 (чел.дн);
Счд=540 (руб.);
Осн. показ. Xзад=10 (форматка (формат А4));</t>
  </si>
  <si>
    <t>Полный комплекс работ
(100%):
Тчд * Xзад * Счд * Ктек
6 * 10 * 540 * 4</t>
  </si>
  <si>
    <t>2.10</t>
  </si>
  <si>
    <t>Шурф. Глубина шурфа: до 3 м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</si>
  <si>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1.11 Шурфы п.1
Тчд=2.17 (чел.дн);
Счд=540 (руб.);
Осн. показ. Xзад=4 (1 шурф размером до 4 м2);</t>
  </si>
  <si>
    <t>Полный комплекс работ
(100%):
Тчд * Xзад * Счд * Ктек * K1
2.17 * 4 * 540 * 4 * 1.2</t>
  </si>
  <si>
    <t>2.11</t>
  </si>
  <si>
    <t>Фиксация в масштабе 1:10 по шурфу с составлением акта исследования. Шурф. Глубина шурфа: до 3 м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</si>
  <si>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1.11 Шурфы п.2
Тчд=0.9 (чел.дн);
Счд=540 (руб.);
Осн. показ. Xзад=8 (форматка);</t>
  </si>
  <si>
    <t>Полный комплекс работ
(100%):
Тчд * Xзад * Счд * Ктек * K1 * K2
0.9 * 8 * 540 * 4 * 1.2 * 1.5</t>
  </si>
  <si>
    <t>2.12</t>
  </si>
  <si>
    <t>Полный комплекс работ
(100%):
Тчд * Xзад * Счд * Ктек
6 * 8 * 540 * 4</t>
  </si>
  <si>
    <t>2.13</t>
  </si>
  <si>
    <t>Итого Архитектурно-археологические обмеры:</t>
  </si>
  <si>
    <t>2.14</t>
  </si>
  <si>
    <t>Всего Архитектурно-археологические обмеры:</t>
  </si>
  <si>
    <t>Инженерные исследования</t>
  </si>
  <si>
    <t>Инженерные исследования памятника.II категории сложности.</t>
  </si>
  <si>
    <t>При аварийном состоянии памятника применять коэффициент</t>
  </si>
  <si>
    <t>K1 = 1.3
Раздел 1 пояснения к табл. 1.13 п.1 (Ценообразующий)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</si>
  <si>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1.15 Составление текстовых материалов научно-проектной документации п.1
Тчд=37.35 (чел.дн);
Счд=540 (руб.);
Осн. показ. Xзад=0.5 (печатный лист);</t>
  </si>
  <si>
    <t>Полный комплекс работ
(100%):
Тчд * Xзад * Счд * Ктек * K1 * K2
37.35 * 0.5 * 540 * 4 * 1.1 * 1.2</t>
  </si>
  <si>
    <t>При подборке иллюстративного материала с составлением кратких аннотаций применять коэффициент</t>
  </si>
  <si>
    <t>K1 = 1.1
Раздел 1 пояснения к табл. 1.15 п.2 (Ценообразующий)</t>
  </si>
  <si>
    <t>Рекомендации, технологические карты, научно-методические указания по реставрации или эксплуатации памятника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</si>
  <si>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1.15 Составление текстовых материалов научно-проектной документации п.3
Тчд=53.28 (чел.дн);
Счд=540 (руб.);
Осн. показ. Xзад=0.5 (печатный лист);</t>
  </si>
  <si>
    <t>Полный комплекс работ
(100%):
Тчд * Xзад * Счд * Ктек * K1 * K2
53.28 * 0.5 * 540 * 4 * 1.1 * 1.2</t>
  </si>
  <si>
    <t>Итого Инженерные исследования:</t>
  </si>
  <si>
    <t>Всего Инженерные исследования:</t>
  </si>
  <si>
    <t>Комплексы технологических исследований строительных и отделочных материалов</t>
  </si>
  <si>
    <t>4.1</t>
  </si>
  <si>
    <t>Комплексы технологического исследования по строительным и отделочным материалам (каменным, металлическим, деревянным, химическим) памятника в целом. II категории сложности</t>
  </si>
  <si>
    <t>4.2</t>
  </si>
  <si>
    <t>4.3</t>
  </si>
  <si>
    <t>4.4</t>
  </si>
  <si>
    <t>Итого Комплексы технологических исследований строительных и отделочных материалов:</t>
  </si>
  <si>
    <t>4.5</t>
  </si>
  <si>
    <t>Всего Комплексы технологических исследований строительных и отделочных материалов:</t>
  </si>
  <si>
    <t>Отчетная документация</t>
  </si>
  <si>
    <t>5.1</t>
  </si>
  <si>
    <t>Отчет по результатам исследований памятника и его реставрации - научно-реставрационный отчет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</si>
  <si>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1.15 Составление текстовых материалов научно-проектной документации п.2
Тчд=39.12 (чел.дн);
Счд=540 (руб.);
Осн. показ. Xзад=2 (печатный лист);</t>
  </si>
  <si>
    <t>Полный комплекс работ
(100%):
Тчд * Xзад * Счд * Ктек * K1 * K2
39.12 * 2 * 540 * 4 * 1.1 * 1.2</t>
  </si>
  <si>
    <t>5.2</t>
  </si>
  <si>
    <t>Итого Отчетная документация:</t>
  </si>
  <si>
    <t>5.3</t>
  </si>
  <si>
    <t>Всего Отчетная документация:</t>
  </si>
  <si>
    <t>Смета №3</t>
  </si>
  <si>
    <t>на инженерно-геодезические изыскания</t>
  </si>
  <si>
    <t>Наименование объекта изысканий:</t>
  </si>
  <si>
    <t>Заказчик:</t>
  </si>
  <si>
    <t xml:space="preserve">Подрядчик: </t>
  </si>
  <si>
    <t>Наименование работ и затрат</t>
  </si>
  <si>
    <t>Ед.
Изм</t>
  </si>
  <si>
    <t>Кол-
во.</t>
  </si>
  <si>
    <t>Обоснование стоимости</t>
  </si>
  <si>
    <t>Расчет стоимости</t>
  </si>
  <si>
    <t>Полевые работы</t>
  </si>
  <si>
    <t>Инженерно-топографические планы. Масштаб съемки 1:500. Высота сечения рельефа 0,5 м. Категория сложности II. Вид территории: застроенная</t>
  </si>
  <si>
    <t>1 га</t>
  </si>
  <si>
    <t>Справочник базовых цен на инженерные изыскания для строительства. Инженерно-геодезические изыскания. 2004 г. Часть I, Глава 2, Таблица 9. Цены на создание инженерно-топографических планов в масштабах 1:500-1:10000 п.5
A=3284 руб; 
Количество = 0.75 (1 га)</t>
  </si>
  <si>
    <t>Полный комплекс работ
(100%):
A * Количество * K1
3284 руб * 0.75 * 1.4</t>
  </si>
  <si>
    <t>Стадия: Изыскания</t>
  </si>
  <si>
    <t>Стоимость полевых работ при съемке небольших участков или узких полос (за исключением изысканий трасс линейных сооружений). Масштаб съемки 1:500. Площадь участка до 1 га</t>
  </si>
  <si>
    <t>K1 = 1.4
Гл.2, Таблица 10 п.1 (Ценообразующий)</t>
  </si>
  <si>
    <t>Итого Полевые работы:</t>
  </si>
  <si>
    <t>Всего Полевые работы:</t>
  </si>
  <si>
    <t>Лабораторные работы</t>
  </si>
  <si>
    <t>Итого Лабораторные работы:</t>
  </si>
  <si>
    <t>Всего Лабораторные работы:</t>
  </si>
  <si>
    <t>Камеральные работы</t>
  </si>
  <si>
    <t>Справочник базовых цен на инженерные изыскания для строительства. Инженерно-геодезические изыскания. 2004 г. Часть I, Глава 2, Таблица 9. Цены на создание инженерно-топографических планов в масштабах 1:500-1:10000 п.5
A=1067 руб; 
Количество = 0.75 (1 га)</t>
  </si>
  <si>
    <t>Полный комплекс работ
(100%):
A * Количество
1067 руб * 0.75</t>
  </si>
  <si>
    <t>Итого Камеральные работы:</t>
  </si>
  <si>
    <t>Коэффициент при необходимости выполнения камеральных и картографических работ с применением компьютерных технологий</t>
  </si>
  <si>
    <t>СБЦ на инж.из. для стр-ва "Инженерно-геодезические изыскания"  (ОУ п. 15)</t>
  </si>
  <si>
    <t>Всего Камеральные работы:</t>
  </si>
  <si>
    <t>Прочие расходы</t>
  </si>
  <si>
    <t>Расходы по внутреннему транспорту. Расстояние от базы до участка изысканий до 5 км. Сметная стоимость полевых изыск.работ до 75 тыс.руб</t>
  </si>
  <si>
    <t>СБЦ на инж.из. для стр-ва "Инженерно-геодезические изыскания" (ОУ п. 9 Таблица 4)</t>
  </si>
  <si>
    <t>Расходы по внешнему транспорту. Расстояние проезда и перевозки в одном направлении св. 500 до 1000 км. Продолжительность экспедиции до 1 мес</t>
  </si>
  <si>
    <t>СБЦ на инж.из. для стр-ва "Инженерно-геодезические изыскания" (ОУ п. 10 Таблица 5)</t>
  </si>
  <si>
    <t>Расходы по организации и ликвидации работ с учетом коэффициента для изысканий независимо от их стоимости, выполняемых в районах Крайнего Севера и приравненных к ним местностях, а также в малонаселенных (необжитых) районах (высокогорных, пустынных, таежных и тундровых) (К=2.5)</t>
  </si>
  <si>
    <t>СБЦ на инж.из. для стр-ва "Инженерно-геодезические изыскания" (ОУ п. 13)</t>
  </si>
  <si>
    <t>Всего Прочие расходы:</t>
  </si>
  <si>
    <t>Районная надбавка. Районный коэффициент к зар. плате 1.3</t>
  </si>
  <si>
    <t>СБЦ на инж.из. для стр-ва "Инженерно-геодезические изыскания" (ОУ п. 8д Таблица 3)</t>
  </si>
  <si>
    <t>Коэф - т 0.15 от п.5</t>
  </si>
  <si>
    <t>Индекс на IV квартал 2021 года на изыскательские работы к уровню цен на 01.01.2001</t>
  </si>
  <si>
    <t>Письмо Минстроя России от 25.10.2021 №46012-ИФ/09</t>
  </si>
  <si>
    <t>Коэф - т 4.82 от п.5 - 6</t>
  </si>
  <si>
    <t>Смета №4</t>
  </si>
  <si>
    <t>на изыскательские работы</t>
  </si>
  <si>
    <t>Инженерно-геологические изыскания.</t>
  </si>
  <si>
    <t>Сметный расчет составлен по следующим документам: Справочник базовых цен на инженерно-геологические и инженерно-экологические изыскания для строительства. 1999 г.</t>
  </si>
  <si>
    <t>Инженерно-геологическая, гидрогеологическая рекогносцировка при проходимости: хорошей. Категория сложности II</t>
  </si>
  <si>
    <t>1 км маршрута</t>
  </si>
  <si>
    <t>Инженерно-геологические и инженерно-экологические изыскания для строительства. 1999 г. Глава 1. Инженерно-геологическое, инженерно-гидрогеологическое и инженерно-экологическое рекогносцировочное (маршрутное) обследование Таблица 9. Рекогносцировочное обследование п.1
A=23.3 руб; 
Количество = 1 (1 км маршрута)</t>
  </si>
  <si>
    <t>A * Количество * Ктек
23.3 руб * 1 * 1</t>
  </si>
  <si>
    <t>Ктек = 1</t>
  </si>
  <si>
    <t>Колонковое бурение скважины диаметром до 160 мм, глубиной, м: до 15. Категория породы II</t>
  </si>
  <si>
    <t>1 м</t>
  </si>
  <si>
    <t>При бурении скважин в подвальных помещениях, цехах и потернах, а также вблизи (на расстоянии до 3,5 м) стен зданий и сооружений применяется коэффициент</t>
  </si>
  <si>
    <t>K1 = 1.3
Часть II, общие положения п.7 (Ценообразующий)</t>
  </si>
  <si>
    <t>Колонковое бурение скважины диаметром до 160 мм, глубиной, м: до 15. Категория породы III</t>
  </si>
  <si>
    <t>Колонковое бурение скважины диаметром до 160 мм, глубиной, м: до 15. Категория породы IV</t>
  </si>
  <si>
    <t>1.5</t>
  </si>
  <si>
    <t>Крепление скважины при бурении диаметром, мм: до 160. Глубина скважины,  м: до 15</t>
  </si>
  <si>
    <t>1.6</t>
  </si>
  <si>
    <t>Отбор монолитов с глубины, м: до 10. Из буровых скважин (связные грунты)</t>
  </si>
  <si>
    <t>1 монолит</t>
  </si>
  <si>
    <t>1.7</t>
  </si>
  <si>
    <t>1.8</t>
  </si>
  <si>
    <t>Расходы по внутреннему транспорту. Расстояние от базы до участка изысканий до 5 км. Сметная стоимость полевых изыск.работ до 5 тыс.руб</t>
  </si>
  <si>
    <t>СБЦ на инженерно-геологические и инженерно-экологические изыскания для строительства (ОУ п. 9 Таблица 4)</t>
  </si>
  <si>
    <t>8.75% от п.1.7</t>
  </si>
  <si>
    <t>1.9</t>
  </si>
  <si>
    <t>Расходы по внешнему транспорту. Расстояние проезда и перевозки в одном направлении св. 1000 до 2000 км. Продолжительность экспедиции до 1 мес</t>
  </si>
  <si>
    <t>СБЦ на инженерно-геологические и инженерно-экологические изыскания для строительства (ОУ п. 10 Таблица 5)</t>
  </si>
  <si>
    <t>36.4% от п.1.7 - 1.8</t>
  </si>
  <si>
    <t>1.10</t>
  </si>
  <si>
    <t>Расходы по организации и ликвидации работ с учетом коэффициента для изысканий со сметной стоимостью до 2 тыс. руб (К=2.5)</t>
  </si>
  <si>
    <t>СБЦ на инженерно-геологические и инженерно-экологические изыскания для строительства (ОУ п. 13)</t>
  </si>
  <si>
    <t>Коэф - т 2.5 и 6% от п.1.7 - 1.8</t>
  </si>
  <si>
    <t>1.11</t>
  </si>
  <si>
    <t>Комплексные исследования физико-механических свойств глинистых грунтов. Полный комплекс определений физических свойств для грунтов с включениями частиц диаметром более 1 мм (свыше 10%). Плотность и влажность, границы текучести и раскатывания. Плотность частиц грунта. Гранулометрический анализ ситовым методом и методом ареометра. Расчет плотности сухого грунта, коэффициента пористости, степени водонасыщения и показателя консистенции</t>
  </si>
  <si>
    <t>1 образец</t>
  </si>
  <si>
    <t>Комплексные исследования физико-механических свойств глинистых грунтов. Полный комплекс физико-механических свойств грунта с определением сопротивления грунту срезу (консолидированный срез) и компрессионными испытаниями под нагрузкой до 0,6 МПа. Плотность и влажность, границы текучести и раскатывания, плотность частиц грунта. Гранулометрический анализ методом ареометра. Сопротивление срезу с нагрузками до 0,6 МПа - 4 точки. Влажность и плотность до и после опыта. Показатели сжимаемости по одной ветви с нагрузкой до 0,6 МПа с наблюдением за консолидацией - 6 точек. Плотность и влажность до и после опыта</t>
  </si>
  <si>
    <t>Комплексные исследования физико-механических свойств песчаных грунтов. Полный комплекс определений физических свойств. Влажность, плотность в рыхлом и уплотненном состоянии, плотность частиц грунта. Гранулометрический анализ ситовым методом. Коэффициент фильтрации, угол естественного откоса в сухом состоянии и под водой</t>
  </si>
  <si>
    <t>Определение физико-механических свойств глинистых грунтов. Предварительное уплотнение глинистых грунтов перед срезом</t>
  </si>
  <si>
    <t>Определения химического состава грунтов (почв). Приготовление водной вытяжки</t>
  </si>
  <si>
    <t>Инженерно-геологические и инженерно-экологические изыскания для строительства. 1999 г. Глава 1. Инженерно-геологическое, инженерно-гидрогеологическое и инженерно-экологическое рекогносцировочное (маршрутное) обследование Таблица 9. Рекогносцировочное обследование п.1
A=18.5 руб; 
Количество = 1 (1 км маршрута)</t>
  </si>
  <si>
    <t>A * Количество * Ктек
18.5 руб * 1 * 1</t>
  </si>
  <si>
    <t>Сбор, изучение и систематизация материалов изысканий прошлых лет по горным выработкам.Категория сложности инженерно-геологических условий II</t>
  </si>
  <si>
    <t>1 м выработки</t>
  </si>
  <si>
    <t>Инженерно-геологические и инженерно-экологические. 1999 г. Глава 20. Предполевые камеральные работы Таблица 78. Цены на изучение и систематизацию материалов изысканий прошлых лет. п.1
A=9 руб; 
Количество = 30 (1 м выработки)</t>
  </si>
  <si>
    <t>A * Количество * Ктек
9 руб * 30 * 1</t>
  </si>
  <si>
    <t>Сбор, изучение и систематизация материалов изысканий прошлых лет по цифровым показателямКатегория сложности инженерно-геологических условий II</t>
  </si>
  <si>
    <t>10 цифровых значений</t>
  </si>
  <si>
    <t>Инженерно-геологические и инженерно-экологические. 1999 г. Глава 20. Предполевые камеральные работы Таблица 78. Цены на изучение и систематизацию материалов изысканий прошлых лет. п.2
A=3.6 руб; 
Количество = 9 (10 цифровых значений)</t>
  </si>
  <si>
    <t>A * Количество * Ктек
3.6 руб * 9 * 1</t>
  </si>
  <si>
    <t>Составление технического отчета (заключения) о результатах выполненных работ. Стоимость камеральных работ до 5 тыс.руб. Категория сложности инженерно-геологических условий II</t>
  </si>
  <si>
    <t>-</t>
  </si>
  <si>
    <t>Справочник базовых цен на инженерно-геологические и инженерно-экологические изыскания для строительства. 1999 г. Таблица 87. Составление технического отчета (заключения) о результатах выполненных работ. п.1
Количество = 1</t>
  </si>
  <si>
    <t>21% от п.3.1-3.3
Сумма * Количество
67.39 руб * 1</t>
  </si>
  <si>
    <t>Ктек =</t>
  </si>
  <si>
    <t>СБЦ на инженерно-геологические и инженерно-экологические изыскания для строительства (ОУ п. 8д Таблица 3)</t>
  </si>
  <si>
    <t>Индекс на IV квартал 2021 года на изыскательские работы к уровню цен на 01.01.1991</t>
  </si>
  <si>
    <t>Коэф - т 54.75 от п.5 - 6</t>
  </si>
  <si>
    <t>Смета №5</t>
  </si>
  <si>
    <t>на инженерно-геологические изыскания</t>
  </si>
  <si>
    <t>Съемка малых рек и каналов: в масштабе 1:5000 с промером глубин профилями через 50 м и съемкой русла и полосы шириной 100 м в каждую сторону от реки (канала) с сечением рельефа через 0,5 м.  Категория сложности II</t>
  </si>
  <si>
    <t>1 км реки</t>
  </si>
  <si>
    <t>Справочник базовых цен на инженерные изыскания для строительства. Инженерно-гидрографические работы. Инженерно-гидрометеорологические изыскания на реках. 2000 г. Часть I, Глава 1, Таблица 11. Цены на съемку прибрежной полосы и русла малых рек и каналов-водоприемников шириной до 50 м п.2
A=609 руб; 
Количество = 1 (1 км реки)</t>
  </si>
  <si>
    <t>Полный комплекс работ
(100%):
A * Количество
609 руб * 1</t>
  </si>
  <si>
    <t>Гидроморфологические изыскания при ширине долины реки на участке пересечения, км: до 1. Категория сложности II</t>
  </si>
  <si>
    <t>1 км долины реки</t>
  </si>
  <si>
    <t>Справочник базовых цен на инженерные изыскания для строительства. Инженерно-гидрографические работы. Инженерно-гидрометеорологические изыскания на реках. 2000 г. Часть I, Глава 4, Таблица 20. Цены на гидроморфологические работы на участке перехода п.1
A=272 руб; 
Количество = 1 (1 км долины реки)</t>
  </si>
  <si>
    <t>Полный комплекс работ
(100%):
A * Количество
272 руб * 1</t>
  </si>
  <si>
    <t>Наблюдения на водомерном посту, гидрометрическом лотке, водосливе.Число наблюдений в сутки 6</t>
  </si>
  <si>
    <t>1 месяц наблюдений</t>
  </si>
  <si>
    <t>Справочник базовых цен на инженерные изыскания для строительства. Инженерно-гидрографические работы. Инженерно-гидрометеорологические изыскания на реках. 2000 г. Часть II, Глава 10, Таблица 47. Цены на наблюдения на водомерном посту, гидрометрическом лотке, водосливе п.1
A=476 руб; 
Количество = 1 (1 месяц наблюдений)</t>
  </si>
  <si>
    <t>Полный комплекс работ
(100%):
A * Количество
476 руб * 1</t>
  </si>
  <si>
    <t>Измерение расхода воды детальным методом.Ширина реки, м: св. 20 до 100</t>
  </si>
  <si>
    <t>1 расход</t>
  </si>
  <si>
    <t>Справочник базовых цен на инженерные изыскания для строительства. Инженерно-гидрографические работы. Инженерно-гидрометеорологические изыскания на реках. 2000 г. Часть II, Глава 10, Таблица 48. Цены на наблюдения за характеристиками гидрологического режима рек п.1
A=130 руб; 
Количество = 1 (1 расход)</t>
  </si>
  <si>
    <t>Полный комплекс работ
(100%):
A * Количество
130 руб * 1</t>
  </si>
  <si>
    <t>Определение скорости и направления течения.Ширина реки, м: св. 20 до 100</t>
  </si>
  <si>
    <t>1 профиль (1 серия)</t>
  </si>
  <si>
    <t>Справочник базовых цен на инженерные изыскания для строительства. Инженерно-гидрографические работы. Инженерно-гидрометеорологические изыскания на реках. 2000 г. Часть II, Глава 10, Таблица 48. Цены на наблюдения за характеристиками гидрологического режима рек п.2
A=115 руб; 
Количество = 1 (1 профиль (1 серия))</t>
  </si>
  <si>
    <t>Полный комплекс работ
(100%):
A * Количество
115 руб * 1</t>
  </si>
  <si>
    <t>Промеры глубин.Ширина реки, м: до 20</t>
  </si>
  <si>
    <t>1 профиль</t>
  </si>
  <si>
    <t>Справочник базовых цен на инженерные изыскания для строительства. Инженерно-гидрографические работы. Инженерно-гидрометеорологические изыскания на реках. 2000 г. Часть II, Глава 10, Таблица 48. Цены на наблюдения за характеристиками гидрологического режима рек п.3
A=19 руб; 
Количество = 1 (1 профиль)</t>
  </si>
  <si>
    <t>Полный комплекс работ
(100%):
A * Количество
19 руб * 1</t>
  </si>
  <si>
    <t>Съемка малых рек и каналов: в масштабе 1:5000 с промером глубин профилями через 50 м и съемкой русла и полосы шириной 100 м в каждую сторону от реки (канала) с сечением рельефа через 0,5 м  Категория сложности II</t>
  </si>
  <si>
    <t>Справочник базовых цен на инженерные изыскания для строительства. Инженерно-гидрографические работы. Инженерно-гидрометеорологические изыскания на реках. 2000 г. Часть I, Глава 1, Таблица 11. Цены на съемку прибрежной полосы и русла малых рек и каналов-водоприемников шириной до 50 м п.2
A=85 руб; 
Количество = 1 (1 км реки)</t>
  </si>
  <si>
    <t>Полный комплекс работ
(100%):
A * Количество
85 руб * 1</t>
  </si>
  <si>
    <t>Справочник базовых цен на инженерные изыскания для строительства. Инженерно-гидрографические работы. Инженерно-гидрометеорологические изыскания на реках. 2000 г. Часть II, Глава 10, Таблица 47. Цены на наблюдения на водомерном посту, гидрометрическом лотке, водосливе п.1
A=68 руб; 
Количество = 1 (1 месяц наблюдений)</t>
  </si>
  <si>
    <t>Полный комплекс работ
(100%):
A * Количество
68 руб * 1</t>
  </si>
  <si>
    <t>Справочник базовых цен на инженерные изыскания для строительства. Инженерно-гидрографические работы. Инженерно-гидрометеорологические изыскания на реках. 2000 г. Часть II, Глава 10, Таблица 48. Цены на наблюдения за характеристиками гидрологического режима рек п.1
A=29 руб; 
Количество = 1 (1 расход)</t>
  </si>
  <si>
    <t>Полный комплекс работ
(100%):
A * Количество
29 руб * 1</t>
  </si>
  <si>
    <t>Определение скорости и направления течения.  Ширина реки, м: св. 20 до 100</t>
  </si>
  <si>
    <t>Справочник базовых цен на инженерные изыскания для строительства. Инженерно-гидрографические работы. Инженерно-гидрометеорологические изыскания на реках. 2000 г. Часть II, Глава 10, Таблица 48. Цены на наблюдения за характеристиками гидрологического режима рек п.2
A=25 руб; 
Количество = 1 (1 профиль (1 серия))</t>
  </si>
  <si>
    <t>Полный комплекс работ
(100%):
A * Количество
25 руб * 1</t>
  </si>
  <si>
    <t>Составление таблицы гидрологической изученности бассейна реки при числе пунктов наблюдений:до 50</t>
  </si>
  <si>
    <t>1 таблица</t>
  </si>
  <si>
    <t>Справочник базовых цен на инженерные изыскания для строительства. Инженерно-гидрографические работы. Инженерно-гидрометеорологические изыскания на реках. 2000 г. Часть II, Глава 11, Таблица 51. Цены на обобщение материалов гидрометеорологической изученности п.1
A=105 руб; 
Количество = 1 (1 таблица)</t>
  </si>
  <si>
    <t>Полный комплекс работ
(100%):
A * Количество
105 руб * 1</t>
  </si>
  <si>
    <t>Цена на составление технического отчета. Стоимость камеральных работ св. 1000 до 2000 руб.. Степень гидрометеорологической изученности территории: изученная</t>
  </si>
  <si>
    <t>СБЦ на инж.из. для стр-ва "Инженерно-гидрографические работы. Инженерно-гидрометеорологические изыскания на реках" (табл.62)</t>
  </si>
  <si>
    <t>65% от п.3.6</t>
  </si>
  <si>
    <t>СБЦ на инж.из. для стр-ва "Инженерно-гидрографические работы. Инженерно-гидрометеорологические изыскания на реках" (ОУ п. 9 Таблица 4)</t>
  </si>
  <si>
    <t>8.75% от п.1.8</t>
  </si>
  <si>
    <t>СБЦ на инж.из. для стр-ва "Инженерно-гидрографические работы. Инженерно-гидрометеорологические изыскания на реках" (ОУ п. 10 Таблица 5)</t>
  </si>
  <si>
    <t>30.8% от п.1.8, 4.1</t>
  </si>
  <si>
    <t>СБЦ на инж.из. для стр-ва "Инженерно-гидрографические работы. Инженерно-гидрометеорологические изыскания на реках"(ОУ п. 13)</t>
  </si>
  <si>
    <t>Коэф - т 2.5 и 6% от п.1.8, 4.1</t>
  </si>
  <si>
    <t>СБЦ на инж.из. для стр-ва "Инженерно-гидрографические работы. Инженерно-гидрометеорологические изыскания на реках" (ОУ п. 8д Таблица 3)</t>
  </si>
  <si>
    <t>Смета №6</t>
  </si>
  <si>
    <t>Предварительные работы</t>
  </si>
  <si>
    <t>Задание на выполнение работ, составление сметы-калькуляции, схемы маршрута поездок, график проведения работ</t>
  </si>
  <si>
    <t>Сборник цен на научно-проектные работы по памятникам истории и культуры. 1991 г. Раздел 11 Составление первичной учетной документации на недвижимые памятники истории и культуры, Глава 1 Предварительные работы, Таблица 11-4. Предварительные работы по составлению первичной учетной документации памятников: архитектуры, истории; парков и природных ландшафтов (комплексов); археологии п.1
A=0.680 тыс.руб; 
Количество = 2 (задание, смета, схема маршрута, график)</t>
  </si>
  <si>
    <t>A * Количество * Ктек
680 руб * 2 * 1</t>
  </si>
  <si>
    <t>Итого Предварительные работы:</t>
  </si>
  <si>
    <t>Всего Предварительные работы:</t>
  </si>
  <si>
    <t>Археологические изыскания (наблюдения) - полевые и камеральные работы</t>
  </si>
  <si>
    <t>Полевые археологические исследования при производстве земляных работ в соответствии с методическими указаниями - ручным способом с помощью лопаты, ровными слоями одинаковой толщины (не более неполного штыка лопаты - 20 см), с просмотром грунта методом переборки или просеивания при наблюдении археолога. 1 квадрат. Глубина шурфа (раскопа) до 1,4 м</t>
  </si>
  <si>
    <t>Сборник цен на научно-проектные работы по памятникам истории и культуры. 1991 г. Раздел 6 Архитектурно-археологические исследования в зоне охраны памятников истории и культуры,  Глава 2 Археологические исследования, Таблица 6-2. Археологические исследования п.1А
A=0.390 тыс.руб; 
Количество = 10 ("1 квадрат" размером (2*2))</t>
  </si>
  <si>
    <t>A * Количество * Ктек
390 руб * 10 * 1</t>
  </si>
  <si>
    <t>Итого Археологические изыскания (наблюдения) - полевые и камеральные работы:</t>
  </si>
  <si>
    <t>Всего Археологические изыскания (наблюдения) - полевые и камеральные работы:</t>
  </si>
  <si>
    <t>Отчет об археологических изысканиях</t>
  </si>
  <si>
    <t>Составление отчета по археологическим исследованиям, проведенным на памятнике. II категория сложности памятника (объекта исследования)</t>
  </si>
  <si>
    <t>Сборник цен на научно-проектные работы по памятникам истории и культуры. 1991 г. Раздел 6 Архитектурно-археологические исследования в зоне охраны памятников истории и культуры, Глава 3 Отчет об археологических исследованиях, Таблица 6-3. Отчет об археологических исследованиях п.1Б
A=0.660 тыс.руб; 
Количество = 1 (печатный лист)</t>
  </si>
  <si>
    <t>Полный комплекс работ
(100%):
A * Количество * Ктек
660 руб * 1 * 1</t>
  </si>
  <si>
    <t>Цветное фото. Размер негатива, отпечатка до 2,4х3,6 см. Съемка (негатив, слайд)</t>
  </si>
  <si>
    <t>Сборник цен на научно-проектные работы по памятникам истории и культуры. 1991 г. Раздел 8 Фотофиксация, Таблица 8-5. Цветное фото п.1
A=0.00785 тыс.руб; 
Количество = 48 (негатив, слайд)</t>
  </si>
  <si>
    <t>Полный комплекс работ
(100%):
A * Количество * Ктек
7.85 руб * 48 * 1</t>
  </si>
  <si>
    <t>Альбом фотоиллюстраций с подбором наклейкой, компоновкой и составлением кратких аннотаций, включающих в себя до 20 фотографий</t>
  </si>
  <si>
    <t>Сборник цен на научно-проектные работы по памятникам истории и культуры. 1991 г. Раздел 1 Реставрация памятников истории и архитектуры, Глава 3 Проектные работы, Таблица 1-22. Научно-реставрационный отчет п.5
A=0.078 тыс.руб; 
Количество = 2 (Альбом до 5 экз.)</t>
  </si>
  <si>
    <t>Полный комплекс работ
(100%):
A * Количество * Ктек
78 руб * 2 * 1</t>
  </si>
  <si>
    <t>Итого Отчет об археологических изысканиях:</t>
  </si>
  <si>
    <t>Всего Отчет об археологических изысканиях:</t>
  </si>
  <si>
    <t>Индекс 4кв.2011г. к 1991г. пересчета провед. ремонтно-реставрационных раб.</t>
  </si>
  <si>
    <t>Письмо Минкультуры РФ от 13.10.1998 № 01-211/16-14, Письмо Минкультуры РФ от 20.12.2011 № 107-01-39/10-КЧ</t>
  </si>
  <si>
    <t>Коэф - т 58.4 от п.4</t>
  </si>
  <si>
    <t>Смета №8</t>
  </si>
  <si>
    <t>Проходка шурфов и шахт сечением 2,5 м2. Глубина выработки, м: св. 2.5 до 5. Категория породы III</t>
  </si>
  <si>
    <t>Инженерно-геологические и инженерно-экологические изыскания для строительства. 1999 г. Глава 10. Проходка подземных горных выработок Таблица 27. Цены на проходку шурфов и шахт при глубине до 20 м - сечением 2,5 м2; свыше 20 м и до 40 м - сечением 4 м2; при глубине более 40 м - сечением 6 м2 п.2
A=70.7 руб; 
Количество = 40 (1 м)</t>
  </si>
  <si>
    <t>A * Количество * Ктек * K1
70.7 руб * 40 * 54.75 * 1.3</t>
  </si>
  <si>
    <t>инд.4кв.2021г.к 01.01.1991 на инж.из.</t>
  </si>
  <si>
    <t>Ктек = 54.75
Письмо Минстроя России от 25.10.2021 №46012-ИФ/09</t>
  </si>
  <si>
    <t>При проходке горных выработок для обследования фундаментов зданий и сооружений, а также в подвальных помещениях, цехах, потернах и в зонах исторической городской застройки к ценам применяется коэффициент</t>
  </si>
  <si>
    <t>K1 = 1.3
Часть III, Глава 10, примечание 3 к таблице 27 (Ценообразующий)</t>
  </si>
  <si>
    <t>21% от п.1.3
Сумма * Количество
42269.41 руб * 1</t>
  </si>
  <si>
    <t>Смета №7</t>
  </si>
  <si>
    <t>Обследование монументальной живописи.</t>
  </si>
  <si>
    <t>Сборник цен на научно-проектные работы по памятникам истории и культуры. 1991 г. Раздел 7 Исследование состояния материалов и разработка технологии реставрации, Глава 1 Предварительное обследование состояния материалов памятника, Таблица 7-1. Комплексное предварительное обследование памятника п.4в
A=0.270 тыс.руб; 
Количество = 1 (памятник)</t>
  </si>
  <si>
    <t>A * Количество * Ктек * K1
270 руб * 1 * 1 * 1.5</t>
  </si>
  <si>
    <t>При проведении предварительного обследования на памятниках с настенной живописью, росписями</t>
  </si>
  <si>
    <t>K1 = 1.5
Прим. к табл.7-1 п.3 (Ценообразующий)</t>
  </si>
  <si>
    <t>1. Предварительное натурное обследование состояния памятника</t>
  </si>
  <si>
    <t>2. Состояние программы работ и сметы-калькуляции</t>
  </si>
  <si>
    <t>Предварительное обследование состояния материалов отделки, декора интерьера и предметов убранства интерьера. III категория сложности. Предметы убранства интерьера</t>
  </si>
  <si>
    <t>Сборник цен на научно-проектные работы по памятникам истории и культуры. 1991 г. Раздел 7 Исследование состояния материалов и разработка технологии реставрации, Глава 1 Предварительное обследование состояния материалов памятника, Таблица 7-2. Отделка интерьера и предметы убранства интерьера п.3а
A=0.013 тыс.руб; 
Количество = 1 (памятник, предмет)</t>
  </si>
  <si>
    <t>A * Количество * Ктек * (1 + дроб.ч. K1)
13 руб * 1 * 1 * (1 + 0.2)</t>
  </si>
  <si>
    <t>Работы с подмостей, стремянок, лестниц (максим.)</t>
  </si>
  <si>
    <t>K1 = 1.2
Раздел 7 п.9 "б" (Усложняющий)</t>
  </si>
  <si>
    <t>Предварительное обследование состояния материалов отделки, декора интерьера и предметов убранства интерьера. III категория сложности. Отделка интерьера. Площадь поверхности отделки до 100 м2</t>
  </si>
  <si>
    <t>Сборник цен на научно-проектные работы по памятникам истории и культуры. 1991 г. Раздел 7 Исследование состояния материалов и разработка технологии реставрации, Глава 1 Предварительное обследование состояния материалов памятника, Таблица 7-2. Отделка интерьера и предметы убранства интерьера п.3б
A=0.044 тыс.руб; 
Количество = 1 (памятник, предмет)</t>
  </si>
  <si>
    <t>A * Количество * Ктек * (1 + дроб.ч. K1)
44 руб * 1 * 1 * (1 + 0.2)</t>
  </si>
  <si>
    <t>Исследование состояния материалов отделки памятника, отдельных элементов и предметов убранства интерьера, работы по исследованию и открытию первоначальных покрасок памятника. Площадь исследуемой поверхности. Штукатурки, лепной декор, искусственный мрамор и т.п. III категория сложности</t>
  </si>
  <si>
    <t>Сборник цен на научно-проектные работы по памятникам истории и культуры. 1991 г. Раздел 7 Исследование состояния материалов и разработка технологии реставрации, Глава 2 Натуральное обследование состояния материалов архитектурно-конструктивных элементов памятника, Таблица 7-8. Материалы отделки памятника п.1в
A1=0.310 тыс.руб; A2=0.420 тыс.руб; 
Х1=200.0; Х2=500.0; 
Осн. показ. Х=75 (м2)
Количество = 1</t>
  </si>
  <si>
    <t>(A1 - (A2 - A1) / (X2 - X1) * (X1 - X) * 0.6) * Количество * Ктек * (1 + дроб.ч. K1)
(310 руб - (420 руб - 310 руб) / (500 - 200) * (200 - 75) * 0.6) * 1 * 1 * (1 + 0.2)</t>
  </si>
  <si>
    <t>1. Натурное исследование состояния материалов (долевые работы)</t>
  </si>
  <si>
    <t>2. Изучение документации по памятнику (сведения об истории строительства отделочных материалах)</t>
  </si>
  <si>
    <t>3. Составление заключения о состоянии материалов</t>
  </si>
  <si>
    <t>Исследование состояния материалов отделки памятника, отдельных элементов и предметов убранства интерьера, работы по исследованию и открытию первоначальных покрасок памятника. Площадь исследуемой поверхности. Покраска фасадов и интерьеров. III категория сложности</t>
  </si>
  <si>
    <t>Сборник цен на научно-проектные работы по памятникам истории и культуры. 1991 г. Раздел 7 Исследование состояния материалов и разработка технологии реставрации, Глава 2 Натуральное обследование состояния материалов архитектурно-конструктивных элементов памятника, Таблица 7-8. Материалы отделки памятника п.1е
A1=0.290 тыс.руб; A2=0.400 тыс.руб; 
Х1=200.0; Х2=500.0; 
Осн. показ. Х=75 (м2)
Количество = 1</t>
  </si>
  <si>
    <t>(A1 - (A2 - A1) / (X2 - X1) * (X1 - X) * 0.6) * Количество * Ктек * (1 + дроб.ч. K1)
(290 руб - (400 руб - 290 руб) / (500 - 200) * (200 - 75) * 0.6) * 1 * 1 * (1 + 0.2)</t>
  </si>
  <si>
    <t>Исследование состояния художественной отделки памятника. Площадь исследуемой поверхности. Красочные слои. III категория сложности</t>
  </si>
  <si>
    <t>Сборник цен на научно-проектные работы по памятникам истории и культуры. 1991 г. Раздел 7 Исследование состояния материалов и разработка технологии реставрации, Глава 2 Натуральное обследование состояния материалов архитектурно-конструктивных элементов памятника, Таблица 7-10. Монументальная живопись, декоративные росписи, плафоны и т.п п.6в
A=0.480 тыс.руб; Осн. показ. Х=75 (м2); 
Количество = 1</t>
  </si>
  <si>
    <t>A * Количество * Ктек * (1 + дроб.ч. K1)
480 руб * 1 * 1 * (1 + 0.2)</t>
  </si>
  <si>
    <t>1. Натурное исследование состояния материалов (полевые работы)</t>
  </si>
  <si>
    <t>2. Изучение документации по памятнику (сведения по истории строительства, о стиле, характере, виде живописи, отделке)</t>
  </si>
  <si>
    <t>3. Составление заключения о состоянии живописи (красочных слоев, грунта основания)</t>
  </si>
  <si>
    <t>Исследование состояния художественной отделки памятника. Площадь исследуемой поверхности. Грунт (основание). III категория сложности</t>
  </si>
  <si>
    <t>Сборник цен на научно-проектные работы по памятникам истории и культуры. 1991 г. Раздел 7 Исследование состояния материалов и разработка технологии реставрации, Глава 2 Натуральное обследование состояния материалов архитектурно-конструктивных элементов памятника, Таблица 7-10. Монументальная живопись, декоративные росписи, плафоны и т.п п.6е
A=0.510 тыс.руб; Осн. показ. Х=75 (м2); 
Количество = 1</t>
  </si>
  <si>
    <t>A * Количество * Ктек * (1 + дроб.ч. K1 + дроб.ч. K2)
510 руб * 1 * 1 * (1 + 0.2 + 0.3)</t>
  </si>
  <si>
    <t>При проведении исследований труднодоступных, скрытых конструкций (максим.)</t>
  </si>
  <si>
    <t>K2 = 1.3
Раздел 7 п.9 "г" (Усложняющий)</t>
  </si>
  <si>
    <t>Отбор проб красочного слоя, грунта, левкаса, лаковых слоев, декоративных металлических покрытий и проб микологических и микробиологических поражений на памятнике</t>
  </si>
  <si>
    <t>Сборник цен на научно-проектные работы по памятникам истории и культуры. 1991 г. Раздел 7 Исследование состояния материалов и разработка технологии реставрации, Глава 3 Лабораторные анализы, исследования, испытания материалов, Таблица 7-12. Отбор проб и образцов материалов п.2
A=0.004 тыс.руб; 
Количество = 5 (1 проба)</t>
  </si>
  <si>
    <t>Полный комплекс работ
(100%):
A * Количество * Ктек * K1
4 руб * 5 * 1 * 1.3</t>
  </si>
  <si>
    <t>При отборе проб красочных слоев монументальной живописи</t>
  </si>
  <si>
    <t>K1 = 1.3
Прим. к табл.7-12 п.3 (Ценообразующий)</t>
  </si>
  <si>
    <t>Стратиграфический анализ пробы с подготовкой к исследованию до 5-ти слоев в пробе</t>
  </si>
  <si>
    <t>Сборник цен на научно-проектные работы по памятникам истории и культуры. 1991 г. Раздел 7 Исследование состояния материалов и разработка технологии реставрации, Глава 3 Лабораторные анализы, исследования, испытания материалов, Таблица 7-14. Качественный анализ живописи и декоративно-отделочных материалов (комплексные анализы и отдельные определения) п.5Б
A=0.018 тыс.руб; 
Количество = 5 (проба)</t>
  </si>
  <si>
    <t>Полный комплекс работ
(100%):
A * Количество * Ктек
18 руб * 5 * 1</t>
  </si>
  <si>
    <t>Комплексный анализ пигментов, до 5-ти пигментов в пробе. IV категория сложности</t>
  </si>
  <si>
    <t>Сборник цен на научно-проектные работы по памятникам истории и культуры. 1991 г. Раздел 7 Исследование состояния материалов и разработка технологии реставрации, Глава 3 Лабораторные анализы, исследования, испытания материалов, Таблица 7-14. Качественный анализ живописи и декоративно-отделочных материалов (комплексные анализы и отдельные определения) п.8Г
A=0.160 тыс.руб; 
Количество = 5 (проба)</t>
  </si>
  <si>
    <t>Полный комплекс работ
(100%):
A * Количество * Ктек
160 руб * 5 * 1</t>
  </si>
  <si>
    <t>Спектральный анализ пигментов с предварительной подготовкой пробы к исследованию</t>
  </si>
  <si>
    <t>Сборник цен на научно-проектные работы по памятникам истории и культуры. 1991 г. Раздел 7 Исследование состояния материалов и разработка технологии реставрации, Глава 3 Лабораторные анализы, исследования, испытания материалов, Таблица 7-14. Качественный анализ живописи и декоративно-отделочных материалов (комплексные анализы и отдельные определения) п.10
A=0.031 тыс.руб; 
Количество = 5 (анализ)</t>
  </si>
  <si>
    <t>Полный комплекс работ
(100%):
A * Количество * Ктек
31 руб * 5 * 1</t>
  </si>
  <si>
    <t>Рентгеноструктурный анализ пигментов, грунтов с предварительной подготовкой пробы к исследованию</t>
  </si>
  <si>
    <t>Сборник цен на научно-проектные работы по памятникам истории и культуры. 1991 г. Раздел 7 Исследование состояния материалов и разработка технологии реставрации, Глава 3 Лабораторные анализы, исследования, испытания материалов, Таблица 7-14. Качественный анализ живописи и декоративно-отделочных материалов (комплексные анализы и отдельные определения) п.11
A=0.027 тыс.руб; 
Количество = 5 (анализ)</t>
  </si>
  <si>
    <t>Полный комплекс работ
(100%):
A * Количество * Ктек
27 руб * 5 * 1</t>
  </si>
  <si>
    <t>Определение связующих в живописных и декоративно-отделочных материалах. Определение восков методом тонкослойной хроматографии с приготовлением экстракта связующего: методом тонкослойной хроматографии</t>
  </si>
  <si>
    <t>Сборник цен на научно-проектные работы по памятникам истории и культуры. 1991 г. Раздел 7 Исследование состояния материалов и разработка технологии реставрации, Глава 3 Лабораторные анализы, исследования, испытания материалов, Таблица 7-14. Качественный анализ живописи и декоративно-отделочных материалов (комплексные анализы и отдельные определения) п.22А
A=0.019 тыс.руб; 
Количество = 5 (проба)</t>
  </si>
  <si>
    <t>Полный комплекс работ
(100%):
A * Количество * Ктек
19 руб * 5 * 1</t>
  </si>
  <si>
    <t>Подготовка пробы к изготовлению шлифа (или временного препарата). III категория сложности</t>
  </si>
  <si>
    <t>Сборник цен на научно-проектные работы по памятникам истории и культуры. 1991 г. Раздел 7 Исследование состояния материалов и разработка технологии реставрации, Глава 3 Лабораторные анализы, исследования, испытания материалов, Таблица 7-16. Петрографические анализы и исследования п.1В
A=0.007 тыс.руб; 
Количество = 5 (проба)</t>
  </si>
  <si>
    <t>Полный комплекс работ
(100%):
A * Количество * Ктек
7 руб * 5 * 1</t>
  </si>
  <si>
    <t>Изготовление прозрачных петрографических шлифов размером до 4-х см2. III категория сложности</t>
  </si>
  <si>
    <t>Сборник цен на научно-проектные работы по памятникам истории и культуры. 1991 г. Раздел 7 Исследование состояния материалов и разработка технологии реставрации, Глава 3 Лабораторные анализы, исследования, испытания материалов, Таблица 7-16. Петрографические анализы и исследования п.2В
A=0.030 тыс.руб; 
Количество = 5 (шлиф)</t>
  </si>
  <si>
    <t>Полный комплекс работ
(100%):
A * Количество * Ктек
30 руб * 5 * 1</t>
  </si>
  <si>
    <t>Комплексное исследование и отдельные определения оптических констант минералов в породе, растворах. Определение и описание минералов в породе, растворах, методом сбора всех оптических констант более 3-х минералов в породе, растворе</t>
  </si>
  <si>
    <t>Сборник цен на научно-проектные работы по памятникам истории и культуры. 1991 г. Раздел 7 Исследование состояния материалов и разработка технологии реставрации, Глава 3 Лабораторные анализы, исследования, испытания материалов, Таблица 7-16. Петрографические анализы и исследования п.16
A=0.156 тыс.руб; 
Количество = 5 (проба)</t>
  </si>
  <si>
    <t>Полный комплекс работ
(100%):
A * Количество * Ктек
156 руб * 5 * 1</t>
  </si>
  <si>
    <t>Разработка технологического этапа (операции) с подбором материала, состава, метода реставрации. II категория сложности</t>
  </si>
  <si>
    <t>Сборник цен на научно-проектные работы по памятникам истории и культуры. 1991 г. Раздел 7 Исследование состояния материалов и разработка технологии реставрации, Глава 4 Разработка технологий реставрации памятников, Таблица 7-18. Разработка технологий реставрации памятников п.1В
A=0.370 тыс.руб; 
Количество = 2 (схема, этап (операция))</t>
  </si>
  <si>
    <t>Полный комплекс работ
(100%):
A * Количество * Ктек
370 руб * 2 * 1</t>
  </si>
  <si>
    <t>Цветное фото. Размер негатива, отпечатка до 13х18 см. Печать с цветного негатива на трехслойной бумаге</t>
  </si>
  <si>
    <t>Сборник цен на научно-проектные работы по памятникам истории и культуры. 1991 г. Раздел 8 Фотофиксация, Таблица 8-5. Цветное фото п.5
A=0.00660 тыс.руб; 
Количество = 30 (негатив, слайд)</t>
  </si>
  <si>
    <t>Полный комплекс работ
(100%):
A * Количество * Ктек
6.6 руб * 30 * 1</t>
  </si>
  <si>
    <t>Составление научно-технических отчетов о проделанной работе и научно-методических рекомендаций по реставрации, консервации, защите памятников истории культуры. III категория сложности</t>
  </si>
  <si>
    <t>Сборник цен на научно-проектные работы по памятникам истории и культуры. 1991 г. Раздел 7 Исследование состояния материалов и разработка технологии реставрации, Глава 5 Составление научно-технических отчетов, научно-технических рекомендаций  Таблица 7-19. Составление научно-технических отчетов, научно-технических рекомендаций ст. В
A=0.710 тыс.руб; 
Количество = 3 (п/п текстового материала. со схемами, расчетами, таблицами)</t>
  </si>
  <si>
    <t>Полный комплекс работ
(100%):
A * Количество * Ктек
710 руб * 3 * 1</t>
  </si>
  <si>
    <t>Коэф - т 58.4 от п.20</t>
  </si>
  <si>
    <t>Смета №9</t>
  </si>
  <si>
    <t>Раздел 1. Историко-культурные исследования.</t>
  </si>
  <si>
    <t>Историко-культурные исследования. II категории сложности</t>
  </si>
  <si>
    <t>Тчд * Xзад * Счд * Ктек * K1 * K2
77.61 * 1 * 540 * 4 * 1.2 * 0.15</t>
  </si>
  <si>
    <t>Трудозатраты по рассмотрению ранее выполненной научно-проектной документации и возможности ее использования с составлением письменного Заключения определяются с применением коэффициента</t>
  </si>
  <si>
    <t>K2 = 0.15
Основные указания п. 2.7 (Ценообразующий)</t>
  </si>
  <si>
    <t>Документально - протокольная фотофиксация. Отпечаток: проекционная печать. Размер негатива или отпечатка: 18х24 см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</si>
  <si>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Раздел. 6 Фотофиксация Таблица 6.2 Документально - протокольная фотофиксация п.5
Тчд=0.048 (чел.дн);
Счд=540 (руб.);
Осн. показ. Xзад=30 (негатив; отпечаток);</t>
  </si>
  <si>
    <t>негатив; отпечаток</t>
  </si>
  <si>
    <t>Тчд * Xзад * Счд * Ктек
0.048 * 30 * 540 * 4</t>
  </si>
  <si>
    <t>Отчет по результатам историко-культурного исследования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</si>
  <si>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1.15 Составление текстовых материалов научно-проектной документации п.2
Тчд=29.64 (чел.дн);
Счд=540 (руб.);
Осн. показ. Xзад=1 (печатный лист);</t>
  </si>
  <si>
    <t>Тчд * Xзад * Счд * Ктек * K1 * K2
29.64 * 1 * 540 * 4 * 1.1 * 1.2</t>
  </si>
  <si>
    <t>Итого Раздел 1. Историко-культурные исследования.:</t>
  </si>
  <si>
    <t>Всего Раздел 1. Историко-культурные исследования.:</t>
  </si>
  <si>
    <t>Раздел 2. Проект предмета охраны</t>
  </si>
  <si>
    <t>Проект предмета охраны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</si>
  <si>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1.15 Составление текстовых материалов научно-проектной документации п.1
Тчд=26.44 (чел.дн);
Счд=540 (руб.);
Осн. показ. Xзад=2 (печатный лист);</t>
  </si>
  <si>
    <t>Тчд * Xзад * Счд * Ктек * K1 * K2
26.44 * 2 * 540 * 4 * 1.1 * 1.2</t>
  </si>
  <si>
    <t>Итого Раздел 2. Проект предмета охраны:</t>
  </si>
  <si>
    <t>Всего Раздел 2. Проект предмета охраны:</t>
  </si>
  <si>
    <t>Смета №10</t>
  </si>
  <si>
    <t>Разработка научно-проектной документации на реставрацию. Проектная документация</t>
  </si>
  <si>
    <t>Проектная документация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</si>
  <si>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1.15 Составление текстовых материалов научно-проектной документации п.1
Тчд=37.35 (чел.дн);
Счд=540 (руб.);
Осн. показ. Xзад=1 (печатный лист);</t>
  </si>
  <si>
    <t>Полный комплекс работ
(100%):
Тчд * Xзад * Счд * Ктек * K1
37.35 * 1 * 540 * 4 * 1.2</t>
  </si>
  <si>
    <t>Архитектурные решения проекта реставрации памятника в целом - планы. II категории сложности</t>
  </si>
  <si>
    <t>Архитектурные решения проекта реставрации памятника в целом - фасады.II категории сложности</t>
  </si>
  <si>
    <t>Архитектурные решения проекта реставрации памятника в целом - разрезы. II категории сложности</t>
  </si>
  <si>
    <t>Конструктивные решения проекта реставрации памятника в целом. III категории сложности</t>
  </si>
  <si>
    <t>При необходимости выполнения расчетов всех конструкций памятника применять коэффициент</t>
  </si>
  <si>
    <t>Итого Проектная документация:</t>
  </si>
  <si>
    <t>Всего Проектная документация:</t>
  </si>
  <si>
    <t>Проект организации реставрации</t>
  </si>
  <si>
    <t>Основные решения по организации реставрации памятника.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</si>
  <si>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1.15 Составление текстовых материалов научно-проектной документации п.3
Тчд=53.28 (чел.дн);
Счд=540 (руб.);
Осн. показ. Xзад=1 (печатный лист);</t>
  </si>
  <si>
    <t>Полный комплекс работ
(100%):
Тчд * Xзад * Счд * Ктек * K1 * K2
53.28 * 1 * 540 * 4 * 1.1 * 1.2</t>
  </si>
  <si>
    <t>Итого Проект организации реставрации:</t>
  </si>
  <si>
    <t>Всего Проект организации реставрации:</t>
  </si>
  <si>
    <t>Сметная документация.</t>
  </si>
  <si>
    <t>Составление ведомости объемов работ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</si>
  <si>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Раздел. 7 Сметные работы Таблица 7.1 Сметные работы п.1
Тчд=1.03 (чел.дн);
Счд=540 (руб.);
Осн. показ. Xзад=15 (10 позиций (описи или сметного расчета));</t>
  </si>
  <si>
    <t>Полный комплекс работ
(100%):
Тчд * Xзад * Счд * Ктек
1.03 * 15 * 540 * 4</t>
  </si>
  <si>
    <t>Составление сметных расчетов.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</si>
  <si>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Раздел. 7 Сметные работы Таблица 7.1 Сметные работы п.1
Тчд=0.82 (чел.дн);
Счд=540 (руб.);
Осн. показ. Xзад=20 (10 позиций (описи или сметного расчета));</t>
  </si>
  <si>
    <t>Полный комплекс работ
(100%):
Тчд * Xзад * Счд * Ктек
0.82 * 20 * 540 * 4</t>
  </si>
  <si>
    <t>Составление сводного сметного расчета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</si>
  <si>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Раздел. 7 Сметные работы Таблица 7.1 Сметные работы п.1
Тчд=0.62 (чел.дн);
Счд=540 (руб.);
Осн. показ. Xзад=10 (10 позиций (описи или сметного расчета));</t>
  </si>
  <si>
    <t>Полный комплекс работ
(100%):
Тчд * Xзад * Счд * Ктек * K1
0.62 * 10 * 540 * 4 * 1.2</t>
  </si>
  <si>
    <t>Итого Сметная документация.:</t>
  </si>
  <si>
    <t>Всего Сметная документация.:</t>
  </si>
  <si>
    <t>Смета №11</t>
  </si>
  <si>
    <t>Разработка проектной документации на приспособление.</t>
  </si>
  <si>
    <t>Приспособление существующего здания</t>
  </si>
  <si>
    <t>Объекты жилищно-гражданского строительства. 2010 г. Раздел 4. Таблица 14. Культурно-просветительные здания, п.14
A=1239.1 тыс.руб; B=125.95 тыс.руб;
Xмин=10; 
Количество = 1</t>
  </si>
  <si>
    <t>(A + B * (0.4 * Xмин + 0.6 * (Xмин / 2))) * Количество * Кст * Ктек * K1 * K2 * K3 * K4
(1239100 руб + 125950 руб * (0.4 * 10 + 0.6 * 10 / 2)) * 1 * 0.4 * 4.75 * 1.04 * 1.1 * 0.8 * 0.7 * 0.84</t>
  </si>
  <si>
    <t>Стадия: Проектная документация</t>
  </si>
  <si>
    <t>Кст = 0.4</t>
  </si>
  <si>
    <t>инд.4кв.2021г.к 01.01.2001 на пр.раб.</t>
  </si>
  <si>
    <t>Ктек = 4.75
Письмо Минстроя России от 25.10.2021 №46012-ИФ/09</t>
  </si>
  <si>
    <t>В случае выполнения в составе проектной документации по поручению заказчика работ по оценке воздействия объекта капитального строительства на окружающую среду (ОВОС), цена определяется в размере 4% от общей стоимости проектирования</t>
  </si>
  <si>
    <t>K1 = 1.04
Общие положения, п.1.6 (Ценообразующий)</t>
  </si>
  <si>
    <t>Базовая цена проектирования объекта строительства в сложных (стесненных) условиях окружающей среды (объект в исторической среде, в зоне охраняемого ландшафта) определяется по согласованию с заказчиком с применением коэффициента к стоимости разработки проектной документации</t>
  </si>
  <si>
    <t>K2 = 1.1
Раздел 2, п.2.3 (Ценообразующий)</t>
  </si>
  <si>
    <t>При проектировании объектов культуры и искусства с расширенным (сокращенным) составом помещений, максимальной насыщенностью технологическим оборудованием (необходимым минимумом оборудования, обеспечивающим технологический процесс), предусмотренными нормативными документами, базовые цены принимаются с применением к разделам проектной и рабочей документации, трудоемкость по которым изменяется в зависимости от перечисленных факторов, коэффициента по согласованию с заказчиком</t>
  </si>
  <si>
    <t>K3 = 0.8
Глава 2.5, п.2.5.1 (Ценообразующий)</t>
  </si>
  <si>
    <t>К'пон = Xзад / (0.5 * Xмин)</t>
  </si>
  <si>
    <t>K4 = 0.7
понижающий коэффициент, учитывающий разницу в трудоемкости работ по проектируемому объекту и объекту аналогу (Ценообразующий)</t>
  </si>
  <si>
    <t>1. Пояснительная записка</t>
  </si>
  <si>
    <t>2. Схема планировочной организации земельного участка</t>
  </si>
  <si>
    <t>3. Архитектурные решения</t>
  </si>
  <si>
    <t>4. Конструктивные и объемно-планировочные решения</t>
  </si>
  <si>
    <t>5. Инженерное оборудование, сети инженерно-технические мероприятия, технологические решения</t>
  </si>
  <si>
    <t>5.1. Электроснабжение</t>
  </si>
  <si>
    <t>7% [из 35%]</t>
  </si>
  <si>
    <t>5.2. Водоснабжение</t>
  </si>
  <si>
    <t>4% [из 35%]</t>
  </si>
  <si>
    <t>5.3. Водоотведение</t>
  </si>
  <si>
    <t>5.4. Отопление, вентиляция, кондиционирование воздуха</t>
  </si>
  <si>
    <t>12% [из 35%]</t>
  </si>
  <si>
    <t>5.5. Связь</t>
  </si>
  <si>
    <t>3% [из 35%]</t>
  </si>
  <si>
    <t>5.6. Технологические решения</t>
  </si>
  <si>
    <t>5% [из 35%]</t>
  </si>
  <si>
    <t>6. Проект организации строительства</t>
  </si>
  <si>
    <t>7. Охрана окружающей среды (ООС)</t>
  </si>
  <si>
    <t>8. Мероприятия по обеспечению пожарной безопасности</t>
  </si>
  <si>
    <t>9. Мероприятия по обеспечению доступа инвалидов</t>
  </si>
  <si>
    <t>10. Смета на строительство</t>
  </si>
  <si>
    <t>Итого Приспособление существующего здания:</t>
  </si>
  <si>
    <t>Всего Приспособление существующего здания:</t>
  </si>
  <si>
    <t>Смета №12</t>
  </si>
  <si>
    <t>Разработка научно-проектной документации на реставрацию.Рабочая документация</t>
  </si>
  <si>
    <t>Рабочая документация</t>
  </si>
  <si>
    <t>Архитектурно-строительные чертежи по памятнику в целом - планы.II категории сложности</t>
  </si>
  <si>
    <t>Архитектурно-строительные рабочие чертежи по памятнику в целом - фасады. II категории сложности</t>
  </si>
  <si>
    <t>Архитектурно-строительные чертежи по памятнику в целом - разрезы. II категории сложности</t>
  </si>
  <si>
    <t>Архитектурно-строительные рабочие чертежи частей и элементов памятника. Вид чертежей: Фрагменты планов, фасадов, разрезов, развертки стен Масштаб чертежей 1:20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</si>
  <si>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1.24 Архитектурно-строительные рабочие чертежи частей и элементов памятника п.1
Тчд=0.77 (чел.дн);
Счд=540 (руб.);
Осн. показ. Xзад=12 (форматка);</t>
  </si>
  <si>
    <t>Полный комплекс работ
(100%):
Тчд * Xзад * Счд * Ктек * K1
0.77 * 12 * 540 * 4 * 1.2</t>
  </si>
  <si>
    <t>Архитектурно-строительные рабочие чертежи частей и элементов памятника. Вид чертежей: Архитектурные детали Масштаб чертежей 1:10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</si>
  <si>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1.24 Архитектурно-строительные рабочие чертежи частей и элементов памятника п.2
Тчд=0.46 (чел.дн);
Счд=540 (руб.);
Осн. показ. Xзад=8 (форматка);</t>
  </si>
  <si>
    <t>Полный комплекс работ
(100%):
Тчд * Xзад * Счд * Ктек * K1
0.46 * 8 * 540 * 4 * 1.2</t>
  </si>
  <si>
    <t>Архитектурно-строительные рабочие чертежи частей и элементов памятника. Вид чертежей: Полы, плафоны Масштаб чертежей 1:20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</si>
  <si>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1.24 Архитектурно-строительные рабочие чертежи частей и элементов памятника п.3
Тчд=0.69 (чел.дн);
Счд=540 (руб.);
Осн. показ. Xзад=6 (форматка);</t>
  </si>
  <si>
    <t>Полный комплекс работ
(100%):
Тчд * Xзад * Счд * Ктек * K1
0.69 * 6 * 540 * 4 * 1.2</t>
  </si>
  <si>
    <t>Архитектурно-строительные рабочие чертежи частей и элементов памятника. Вид чертежей: Шаблоны Масштаб чертежей 1:1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</si>
  <si>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1.24 Архитектурно-строительные рабочие чертежи частей и элементов памятника п.5
Тчд=0.18 (чел.дн);
Счд=540 (руб.);
Осн. показ. Xзад=6 (форматка);</t>
  </si>
  <si>
    <t>Полный комплекс работ
(100%):
Тчд * Xзад * Счд * Ктек * K1
0.18 * 6 * 540 * 4 * 1.2</t>
  </si>
  <si>
    <t>Инженерно-конструкторские рабочие чертежи. Вид чертежей: Общий вид конструкций Масштаб чертежей 1:50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</si>
  <si>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1.25 Инженерно-конструкторские рабочие чертежи п.1
Тчд=2.42 (чел.дн);
Счд=540 (руб.);
Осн. показ. Xзад=12 (форматка 1/8 листа ватмана);</t>
  </si>
  <si>
    <t>Полный комплекс работ
(100%):
Тчд * Xзад * Счд * Ктек * K1 * K2
2.42 * 12 * 540 * 4 * 1.3 * 1.2</t>
  </si>
  <si>
    <t>Инженерно-конструкторские рабочие чертежи. Вид чертежей: Детали Масштаб чертежей 1:10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</si>
  <si>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1.25 Инженерно-конструкторские рабочие чертежи п.2
Тчд=1.97 (чел.дн);
Счд=540 (руб.);
Осн. показ. Xзад=8 (форматка 1/8 листа ватмана);</t>
  </si>
  <si>
    <t>Полный комплекс работ
(100%):
Тчд * Xзад * Счд * Ктек * K1 * K2
1.97 * 8 * 540 * 4 * 1.3 * 1.2</t>
  </si>
  <si>
    <t>Инженерно-конструкторские рабочие чертежи. Вид чертежей: Шаблоны Масштаб чертежей 1:1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</si>
  <si>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1.25 Инженерно-конструкторские рабочие чертежи п.3
Тчд=0.21 (чел.дн);
Счд=540 (руб.);
Осн. показ. Xзад=8 (форматка 1/8 листа ватмана);</t>
  </si>
  <si>
    <t>Полный комплекс работ
(100%):
Тчд * Xзад * Счд * Ктек * K1 * K2
0.21 * 8 * 540 * 4 * 1.3 * 1.2</t>
  </si>
  <si>
    <t>Рабочие чертежи внутреннего убранства памятника - печей, каминов, приборов освещения, встроенной мебели, иконостасов. Вид чертежей: Общий вид предметов Масштаб чертежей 1:10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</si>
  <si>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1.26 Рабочие чертежи внутреннего убранства памятника - печей, каминов, приборов освещения, встроенной мебели, иконостасов п.1
Тчд=0.76 (чел.дн);
Счд=540 (руб.);
Осн. показ. Xзад=8 (форматка);</t>
  </si>
  <si>
    <t>Полный комплекс работ
(100%):
Тчд * Xзад * Счд * Ктек * K1
0.76 * 8 * 540 * 4 * 1.2</t>
  </si>
  <si>
    <t>1.12</t>
  </si>
  <si>
    <t>Рабочие чертежи внутреннего убранства памятника - печей, каминов, приборов освещения, встроенной мебели, иконостасов. Вид чертежей: Детали Масштаб чертежей 1:5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</si>
  <si>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1.26 Рабочие чертежи внутреннего убранства памятника - печей, каминов, приборов освещения, встроенной мебели, иконостасов п.2
Тчд=0.27 (чел.дн);
Счд=540 (руб.);
Осн. показ. Xзад=6 (форматка);</t>
  </si>
  <si>
    <t>Полный комплекс работ
(100%):
Тчд * Xзад * Счд * Ктек * K1
0.27 * 6 * 540 * 4 * 1.2</t>
  </si>
  <si>
    <t>1.13</t>
  </si>
  <si>
    <t>Рабочие чертежи готовых изделий - решеток, крестов, металлических дверей, оконных и дверных приборов, столярных изделий: окон, дверей, балясин. Вид чертежей: Общий вид изделий Масштаб чертежей 1:20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</si>
  <si>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1.27 Рабочие чертежи готовых изделий - решеток, крестов, металлических дверей, оконных и дверных приборов, столярных изделий: окон, дверей, балясин п.1
Тчд=0.81 (чел.дн);
Счд=540 (руб.);
Осн. показ. Xзад=12 (форматка);</t>
  </si>
  <si>
    <t>Полный комплекс работ
(100%):
Тчд * Xзад * Счд * Ктек * K1
0.81 * 12 * 540 * 4 * 1.2</t>
  </si>
  <si>
    <t>1.14</t>
  </si>
  <si>
    <t>Рабочие чертежи готовых изделий - решеток, крестов, металлических дверей, оконных и дверных приборов, столярных изделий: окон, дверей, балясин. Вид чертежей: Шаблоны Масштаб чертежей 1:1 II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</si>
  <si>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1.27 Рабочие чертежи готовых изделий - решеток, крестов, металлических дверей, оконных и дверных приборов, столярных изделий: окон, дверей, балясин п.3
Тчд=0.3 (чел.дн);
Счд=540 (руб.);
Осн. показ. Xзад=8 (форматка);</t>
  </si>
  <si>
    <t>Полный комплекс работ
(100%):
Тчд * Xзад * Счд * Ктек * K1
0.3 * 8 * 540 * 4 * 1.2</t>
  </si>
  <si>
    <t>1.15</t>
  </si>
  <si>
    <t>Методические рекомендации по определению стоимости научно-проектных работ для реставрации недвижимых памятников истории и культуры. 1993 г. Раздел 8. Геодезические и фотограмметрические методы исследования памятников и автоматизированная обработка данных. Глава 8.3. Автоматизированные методы обработки. Таблица 8.10. Преобразование и ввод графической информации с чертежей в цифровую форму для компьютерной обработки или хранения п.3
Тчд=6.0 (чел.дн);
Счд=540 (руб.);
Осн. показ. Xзад=94 (форматка (формат А4));</t>
  </si>
  <si>
    <t>Полный комплекс работ
(100%):
Тчд * Xзад * Счд * Ктек
6 * 94 * 540 * 4</t>
  </si>
  <si>
    <t>1.16</t>
  </si>
  <si>
    <t>Итого Рабочая документация:</t>
  </si>
  <si>
    <t>1.17</t>
  </si>
  <si>
    <t>Всего Рабочая документация:</t>
  </si>
  <si>
    <t>Смета №13</t>
  </si>
  <si>
    <t>Разработка рабочей документации на приспособление.</t>
  </si>
  <si>
    <t>(A + B * (0.4 * Xмин + 0.6 * (Xмин / 2))) * Количество * Кст * Ктек * K1 * K2 * K3 * K4
(1239100 руб + 125950 руб * (0.4 * 10 + 0.6 * 10 / 2)) * 1 * 0.6 * 4.75 * 1.04 * 1.1 * 0.8 * 0.7 * 0.71</t>
  </si>
  <si>
    <t>Стадия: Рабочая документация</t>
  </si>
  <si>
    <t>Кст = 0.6</t>
  </si>
  <si>
    <t>1. Схема планировочной организации земельного участка</t>
  </si>
  <si>
    <t>2. Архитектурные решения</t>
  </si>
  <si>
    <t>3. Конструктивные и объемно-планировочные решения</t>
  </si>
  <si>
    <t>4. Инженерное оборудование, сети инженерно-технические мероприятия, технологические решения</t>
  </si>
  <si>
    <t>4.1. Электроснабжение</t>
  </si>
  <si>
    <t>5% [из 29%]</t>
  </si>
  <si>
    <t>4.2. Водоотведение</t>
  </si>
  <si>
    <t>3% [из 29%]</t>
  </si>
  <si>
    <t>4.3. Отопление, вентиляция, кондиционирование воздуха</t>
  </si>
  <si>
    <t>14% [из 29%]</t>
  </si>
  <si>
    <t>4.4. Связь</t>
  </si>
  <si>
    <t>4.5. Технологические решения</t>
  </si>
  <si>
    <t>4% [из 29%]</t>
  </si>
  <si>
    <t>5. Мероприятия по обеспечению пожарной безопасности</t>
  </si>
  <si>
    <t>6. Мероприятия по обеспечению доступа инвалидов</t>
  </si>
  <si>
    <t>7. Смета на строительство</t>
  </si>
  <si>
    <t>Смета №14</t>
  </si>
  <si>
    <t>Приложение к ______________________________________</t>
  </si>
  <si>
    <t>Технологический регламент по обращению со строительными отходами.</t>
  </si>
  <si>
    <t xml:space="preserve">№ пп </t>
  </si>
  <si>
    <t>Перечень выполняемых работ</t>
  </si>
  <si>
    <t>Исполнители</t>
  </si>
  <si>
    <t>Количество человеко-дней</t>
  </si>
  <si>
    <t>Средняя оплата труда за 1 день</t>
  </si>
  <si>
    <t>Оплата труда (всего),руб.</t>
  </si>
  <si>
    <t>количество</t>
  </si>
  <si>
    <t>должность</t>
  </si>
  <si>
    <t>Технологический регламент по обращению со строительными отходами</t>
  </si>
  <si>
    <t>ГАП</t>
  </si>
  <si>
    <t>414.15*8</t>
  </si>
  <si>
    <t>Ведущий специалист</t>
  </si>
  <si>
    <t>258.84*8</t>
  </si>
  <si>
    <t>Специалист</t>
  </si>
  <si>
    <t>232.96*8</t>
  </si>
  <si>
    <t>Итого оплата труда (руб.) 50 733,20</t>
  </si>
  <si>
    <t>Итого оплата труда
Сумма от п.2</t>
  </si>
  <si>
    <t>Налоги во внебюджетные фонды (30,8%)
30.8% от п.3</t>
  </si>
  <si>
    <t>Итого
Сумма от п.3-4</t>
  </si>
  <si>
    <t>Коэффициент отношения заработной платы основных исполнителей к себестоимости работ, выполняемых организацией (без учёта расходов на командировки)
Разделить на коэф-т 0.4 от п.3-4</t>
  </si>
  <si>
    <t>Сметная прибыль
8% от п.6</t>
  </si>
  <si>
    <t>Итого
Сумма от п.6-7</t>
  </si>
  <si>
    <t>Смета №15</t>
  </si>
  <si>
    <t>ГИП</t>
  </si>
  <si>
    <t>Итого оплата труда (руб.) 72 476,00</t>
  </si>
  <si>
    <t>Смета №16</t>
  </si>
  <si>
    <t>Главный специалист</t>
  </si>
  <si>
    <t>388.26*8</t>
  </si>
  <si>
    <t>Смета №17</t>
  </si>
  <si>
    <t>Полный комплекс работ
(100%):
Тчд * Xзад * Счд * Ктек * K1 * K2
77.61 * 1 * 540 * 1 * 1.2 * 0.15</t>
  </si>
  <si>
    <t>Пояснительная записка IV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</si>
  <si>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1.15 Составление текстовых материалов научно-проектной документации п.1
Тчд=57.68 (чел.дн);
Счд=540 (руб.);
Осн. показ. Xзад=1 (печатный лист);</t>
  </si>
  <si>
    <t>Полный комплекс работ
(100%):
Тчд * Xзад * Счд * Ктек
57.68 * 1 * 540 * 1</t>
  </si>
  <si>
    <t>Методические рекомендации по определению стоимости научно-проектных работ для реставрации недвижимых памятников истории и культуры. 1993 г. Раздел. 6 Фотофиксация Таблица 6.4 Цветная фотофиксация п.5
Тчд=0.167 (чел.дн);
Счд=540 (руб.);
Осн. показ. Xзад=24 (негатив; слайд; отпечаток);</t>
  </si>
  <si>
    <t>Полный комплекс работ
(100%):
Тчд * Xзад * Счд * Ктек
0.167 * 24 * 540 * 1</t>
  </si>
  <si>
    <t>Рекомендации, технологические карты, научно-методические указания по реставрации или эксплуатации памятника IV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</si>
  <si>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1.15 Составление текстовых материалов научно-проектной документации п.3
Тчд=83.25 (чел.дн);
Счд=540 (руб.);
Осн. показ. Xзад=1 (печатный лист);</t>
  </si>
  <si>
    <t>Полный комплекс работ
(100%):
Тчд * Xзад * Счд * Ктек * K1
83.25 * 1 * 540 * 1 * 1.2</t>
  </si>
  <si>
    <t>Итого Разработка раздела проектной документации об обеспечении сохранности объектов культурного наследия:</t>
  </si>
  <si>
    <t>Всего Разработка раздела проектной документации об обеспечении сохранности объектов культурного наследия:</t>
  </si>
  <si>
    <t>Индекс 4кв.2011г. к 1998г. пересчета провед. ремонтно-реставрационных раб.</t>
  </si>
  <si>
    <t>Письмо Минкультуры РФ от 20.12.2011 № 107-01-39/10-КЧ</t>
  </si>
  <si>
    <t>Коэф - т 4.0 от п.2</t>
  </si>
  <si>
    <t>Смета №18</t>
  </si>
  <si>
    <t>Разработка раздела "Обеспечение сохранности объекта археологического наследия"</t>
  </si>
  <si>
    <t>Историко-архивные и библиографические исследования. 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</si>
  <si>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культуры. 1993 г. Раздел 1. Здания и сооружения, в том числе малые архитектурные формы и народное деревянное зодчество Таблица 1.3 Историко-архивные и библиографические исследования и исторические записки п.1
Тчд=58.06 (чел.дн);
Счд=540 (руб.);
Осн. показ. Xзад=1 (памятник);</t>
  </si>
  <si>
    <t>Полный комплекс работ
(100%):
Тчд * Xзад * Счд * Ктек * K1
58.06 * 1 * 540 * 1 * 1.1</t>
  </si>
  <si>
    <t>При работе в различных архивах и библиотеках одного города, применяется коэффициент</t>
  </si>
  <si>
    <t>K1 = 1.1
Раздел 1 пояснения к табл. 1.3 п.3 (Ценообразующий)</t>
  </si>
  <si>
    <t>Пояснительная записка 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</si>
  <si>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культуры. 1993 г. Раздел 1. Здания и сооружения, в том числе малые архитектурные формы и народное деревянное зодчество Таблица 1.15 Составление текстовых материалов научно-проектной документации п.1
Тчд=26.44 (чел.дн);
Счд=540 (руб.);
Осн. показ. Xзад=0.8 (печатный лист);</t>
  </si>
  <si>
    <t>Полный комплекс работ
(100%):
Тчд * Xзад * Счд * Ктек * K1
26.44 * 0.8 * 540 * 1 * 1.2</t>
  </si>
  <si>
    <t>Полный комплекс работ
(100%):
Тчд * Xзад * Счд * Ктек * K1
0.167 * 24 * 540 * 1 * 1.2</t>
  </si>
  <si>
    <t>Рекомендации, технологические карты, научно-методические указания по реставрации или эксплуатации памятника 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</si>
  <si>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культуры. 1993 г. Раздел 1. Здания и сооружения, в том числе малые архитектурные формы и народное деревянное зодчество Таблица 1.15 Составление текстовых материалов научно-проектной документации п.3
Тчд=35.76 (чел.дн);
Счд=540 (руб.);
Осн. показ. Xзад=0.8 (печатный лист);</t>
  </si>
  <si>
    <t>Полный комплекс работ
(100%):
Тчд * Xзад * Счд * Ктек * K1
35.76 * 0.8 * 540 * 1 * 1.2</t>
  </si>
  <si>
    <t>Итого Разработка раздела "Обеспечение сохранности объекта археологического наследия":</t>
  </si>
  <si>
    <t>Всего Разработка раздела "Обеспечение сохранности объекта археологического наследия":</t>
  </si>
  <si>
    <t>Государственная историко-культурная экспертиза</t>
  </si>
  <si>
    <t>Ознакомление с предъявленной "Заказчиком" документацией</t>
  </si>
  <si>
    <t>п.1.5 Общая часть РНиП 4.5.01-93</t>
  </si>
  <si>
    <t>Созн.=540 руб./чел.-день*21,6 дня</t>
  </si>
  <si>
    <t>Отчет по результатам исследований памятника и его реставрации - научно-реставрационный отчет I категории сложности</t>
  </si>
  <si>
    <t>Методические рекомендации по определению стоимости научно-проектных работ для реставрации недвижимых памятников истории и культуры. 1993 г. Раздел 1. Здания и сооружения, в том числе малые архитектурные формы и народное деревянное зодчество Таблица 1.15 Составление текстовых материалов научно-проектной документации п.2
Тчд=29.64 (чел.дн);
Счд=540 (руб.);
Осн. показ. Xзад=0.4 (печатный лист);</t>
  </si>
  <si>
    <t>Полный комплекс работ
(100%):
Тчд * Xзад * Счд * Ктек * K1
29.64 * 0.4 * 540 * 1 * 1.2</t>
  </si>
  <si>
    <t>Методические рекомендации по определению стоимости научно-проектных работ для реставрации недвижимых памятников истории и культуры. 1993 г. Раздел 1. Здания и сооружения, в том числе малые архитектурные формы и народное деревянное зодчество Таблица 1.15 Составление текстовых материалов научно-проектной документации п.3
Тчд=35.76 (чел.дн);
Счд=540 (руб.);
Осн. показ. Xзад=0.3 (печатный лист);</t>
  </si>
  <si>
    <t>Полный комплекс работ
(100%):
Тчд * Xзад * Счд * Ктек * K1
35.76 * 0.3 * 540 * 1 * 1.2</t>
  </si>
  <si>
    <t>Итого Государственная историко-культурная экспертиза:</t>
  </si>
  <si>
    <t>Всего Государственная историко-культурная экспертиза:</t>
  </si>
  <si>
    <t>Коэф - т 4.0 от п.3</t>
  </si>
  <si>
    <t>Смета №19</t>
  </si>
  <si>
    <t>Историко-культурная экспертиза  (ГИКЭ) проектной документации</t>
  </si>
  <si>
    <t>Созн.=540 руб./чел.-день*30 дней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</si>
  <si>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1.15 Составление текстовых материалов научно-проектной документации п.2
Тчд=39.12 (чел.дн);
Счд=540 (руб.);
Осн. показ. Xзад=1 (печатный лист);</t>
  </si>
  <si>
    <t>Полный комплекс работ
(100%):
Тчд * Xзад * Счд * Ктек * K1
39.12 * 1 * 540 * 1 * 1.2</t>
  </si>
  <si>
    <t>Полный комплекс работ
(100%):
Тчд * Xзад * Счд * Ктек * K1
53.28 * 1 * 540 * 1 * 1.2</t>
  </si>
  <si>
    <t>Смета №20</t>
  </si>
  <si>
    <t>ЮНЕСКО. Оценка воздействия на всемирную универсальную ценность объектов всемирного наследия</t>
  </si>
  <si>
    <t>Основные положения отчёта</t>
  </si>
  <si>
    <t>Ведущий архитектор</t>
  </si>
  <si>
    <t>Методология оценки воздействия</t>
  </si>
  <si>
    <t>Конструктор</t>
  </si>
  <si>
    <t>Инженер по обследованию зданий и сооружений</t>
  </si>
  <si>
    <t>Технолог-реставратор</t>
  </si>
  <si>
    <t>Главный архитектор проекта</t>
  </si>
  <si>
    <t>История и описание объекта всемирного наследия</t>
  </si>
  <si>
    <t>Описание проектных предложений</t>
  </si>
  <si>
    <t>Анализ и оценка общего влияния предлагаемых изменений</t>
  </si>
  <si>
    <t>Предлагаемые меры по предотвращению, уменьшению или компенсации последствий воздействия (меры по смягчению)</t>
  </si>
  <si>
    <t>Выводы и заключения</t>
  </si>
  <si>
    <t>Оформление и выпуск отчетной документации</t>
  </si>
  <si>
    <t>Техник отдела выпуска</t>
  </si>
  <si>
    <t>116.48*8</t>
  </si>
  <si>
    <t>Итого оплата труда (руб.) 128 696,72</t>
  </si>
  <si>
    <t>Итого оплата труда
Сумма от п.9</t>
  </si>
  <si>
    <t>Налоги во внебюджетные фонды (30,8%)
30.8% от п.10</t>
  </si>
  <si>
    <t>Итого
Сумма от п.10-11</t>
  </si>
  <si>
    <t>Коэффициент отношения заработной платы основных исполнителей к себестоимости работ, выполняемых организацией (без учёта расходов на командировки)
Разделить на коэф-т 0.4 от п.10-11</t>
  </si>
  <si>
    <t>Сметная прибыль
8% от п.13</t>
  </si>
  <si>
    <t>Итого
Сумма от п.13-14</t>
  </si>
  <si>
    <t>Смета №21</t>
  </si>
  <si>
    <t>Командировочные расходы</t>
  </si>
  <si>
    <t>Проектные</t>
  </si>
  <si>
    <t>1)Расчет командировочных расходов</t>
  </si>
  <si>
    <t>Маршрут</t>
  </si>
  <si>
    <t>Кол-во поездок</t>
  </si>
  <si>
    <t>Кол-во человек</t>
  </si>
  <si>
    <t>Кол-во дней ком-ки, дн.</t>
  </si>
  <si>
    <t>Проживание, сутки</t>
  </si>
  <si>
    <t>Ст-ть проживания в сутки, руб./день</t>
  </si>
  <si>
    <t>Ст-ть проезда туда, руб.</t>
  </si>
  <si>
    <t>Ст-ть проезда обратно, руб.</t>
  </si>
  <si>
    <t>Суточные, руб./день.</t>
  </si>
  <si>
    <t>Итого</t>
  </si>
  <si>
    <t>Стоимость проезда</t>
  </si>
  <si>
    <t>чел-поездок *</t>
  </si>
  <si>
    <t>руб. =</t>
  </si>
  <si>
    <t>Стоимость проживания</t>
  </si>
  <si>
    <t>чел.-дн. *</t>
  </si>
  <si>
    <t>Суточные всего</t>
  </si>
  <si>
    <t>Всего:</t>
  </si>
  <si>
    <t>«Адепт: Проект в 13.10.1» © ООО «Адепт»</t>
  </si>
  <si>
    <t>Форма ГГЭ</t>
  </si>
  <si>
    <t>Расчет стоимости оплаты государственной экспертизы</t>
  </si>
  <si>
    <t>Наименование объекта:</t>
  </si>
  <si>
    <t>№ п/п</t>
  </si>
  <si>
    <t>Наименование раздела</t>
  </si>
  <si>
    <t>Стоимость работ по договору с заказчиком в текущих ценах (Сп тек, Си тек)</t>
  </si>
  <si>
    <t>Коэффициент перевода стоимости из текущих цен в цены 2001 года (Кп, Ки)</t>
  </si>
  <si>
    <t>Cтоимость ПИР в ценах 2001 года (Сп 2001 + Си 2001)</t>
  </si>
  <si>
    <t xml:space="preserve">% стоимости государственной экспертизы по приложению К1 (Пгэ) </t>
  </si>
  <si>
    <t>Коэффициент перевода стоимости из цен 2001 года в текущие цены (Кi)</t>
  </si>
  <si>
    <t xml:space="preserve">Коэффициент на государственную экспертизу         </t>
  </si>
  <si>
    <t>Сумма, руб.</t>
  </si>
  <si>
    <t>Пункт коман- дировок</t>
  </si>
  <si>
    <t>Стоимость государственной экспертизы. РПгэ=(Сп+Си) * Пгэ * Кi</t>
  </si>
  <si>
    <t>Проектная
документация</t>
  </si>
  <si>
    <t>Инженерные
изыскания</t>
  </si>
  <si>
    <t>* %гп - норматив затрат  (величина генподрядных услуг)</t>
  </si>
  <si>
    <t>** командировочные расходы, необходимые для организации проведения государственной экспертизы проектной организацией</t>
  </si>
  <si>
    <t>Руководитель проектной организации</t>
  </si>
  <si>
    <t xml:space="preserve"> [подпись (инициалы, фамилия)]</t>
  </si>
  <si>
    <t>Главный инженер проекта</t>
  </si>
  <si>
    <t>Согласована:</t>
  </si>
  <si>
    <t>Ответственный представитель заказчика</t>
  </si>
  <si>
    <t>Обследование живописи.</t>
  </si>
  <si>
    <t>смета №7</t>
  </si>
  <si>
    <t>33</t>
  </si>
  <si>
    <t xml:space="preserve">
форма №2П
от 12.11.2021г</t>
  </si>
  <si>
    <t>Предварительные работы. Объем памятника до 7.0 тыс.м3 (5 128 м3)</t>
  </si>
  <si>
    <t>форма №2П
от 12.11.2021г</t>
  </si>
  <si>
    <t>Историко-архивные и библиографические исследования (корректировка).</t>
  </si>
  <si>
    <t>Итого Историко-архивные и библиографические исследования (корректировка).:</t>
  </si>
  <si>
    <t>Коэффициент на корректировку и доработку</t>
  </si>
  <si>
    <t>Коэф - т 0.5 от п.1.3</t>
  </si>
  <si>
    <t>Всего Историко-архивные и библиографические исследования (корректировка).: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</si>
  <si>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1.4 Архитектурно-археологические обмеры памятника  в целом - планы п.6, 7
Тчд(пред)=20.91 (чел.дн); Тчд(след)=29.72 (чел.дн);
Хпред=5.0; Хслед=7.0;
Осн. показ. Xзад=5.128 (1 тыс. м3);
Количество = 1 (памятник)</t>
  </si>
  <si>
    <t>(Тчд(пред) + ((Тчд(след) - Тчд(пред)) / (Xслед - Xпред)) * (Xзад - Xпред)) * Количество * Счд * Ктек * K1
(20.91 + ((29.72 - 20.91) / (7 - 5)) * (5.128 - 5)) * 1 * 540 * 4 * 1.2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</si>
  <si>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1.5 Архитектурно-археологические обмеры памятника  в целом - фасады п.6, 7
Тчд(пред)=20.5 (чел.дн); Тчд(след)=23.03 (чел.дн);
Хпред=5.0; Хслед=7.0;
Осн. показ. Xзад=5.128 (1 тыс. м3);
Количество = 1 (памятник)</t>
  </si>
  <si>
    <t>(Тчд(пред) + ((Тчд(след) - Тчд(пред)) / (Xслед - Xпред)) * (Xзад - Xпред)) * Количество * Счд * Ктек * K1
(20.5 + ((23.03 - 20.5) / (7 - 5)) * (5.128 - 5)) * 1 * 540 * 4 * 1.2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</si>
  <si>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1.6 Архитектурно-археологические обмеры памятника  в целом - разрезы п.6, 7
Тчд(пред)=8.87 (чел.дн); Тчд(след)=9.96 (чел.дн);
Хпред=5.0; Хслед=7.0;
Осн. показ. Xзад=5.128 (1 тыс. м3);
Количество = 1 (памятник)</t>
  </si>
  <si>
    <t>(Тчд(пред) + ((Тчд(след) - Тчд(пред)) / (Xслед - Xпред)) * (Xзад - Xпред)) * Количество * Счд * Ктек * K1
(8.87 + ((9.96 - 8.87) / (7 - 5)) * (5.128 - 5)) * 1 * 540 * 4 * 1.2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</si>
  <si>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1.13 Инженерные исследования  памятника п.6, 7
Тчд(пред)=32.25 (чел.дн); Тчд(след)=35.15 (чел.дн);
Хпред=5.0; Хслед=7.0;
Осн. показ. Xзад=5.128 (1 тыс. м3);
Количество = 1 (памятник)</t>
  </si>
  <si>
    <t>Полный комплекс работ
(100%):
(Тчд(пред) + ((Тчд(след) - Тчд(пред)) / (Xслед - Xпред)) * (Xзад - Xпред)) * Количество * Счд * Ктек * K1 * K2
(32.25 + ((35.15 - 32.25) / (7 - 5)) * (5.128 - 5)) * 1 * 540 * 4 * 1.3 * 1.2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</si>
  <si>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1.14 Комплексы технологического исследования по строительным и отделочным материалам (каменным, металлическим, деревянным, химическим) памятника в целом п.6, 7
Тчд(пред)=138.53 (чел.дн); Тчд(след)=195.87 (чел.дн);
Хпред=5.0; Хслед=7.0;
Осн. показ. Xзад=5.128 (1 тыс. м3);
Количество = 1 (памятник)</t>
  </si>
  <si>
    <t>Полный комплекс работ
(100%):
(Тчд(пред) + ((Тчд(след) - Тчд(пред)) / (Xслед - Xпред)) * (Xзад - Xпред)) * Количество * Счд * Ктек * K1
(138.53 + ((195.87 - 138.53) / (7 - 5)) * (5.128 - 5)) * 1 * 540 * 4 * 1.2</t>
  </si>
  <si>
    <t>Плановая опорная сеть. Класс точности: 2 разряд. Категория сложности II</t>
  </si>
  <si>
    <t>1 пункт</t>
  </si>
  <si>
    <t>Справочник базовых цен на инженерные изыскания для строительства. Инженерно-геодезические изыскания. 2004 г. Часть I, Глава 1, Таблица 8. Цены на создание (развитие) планово-высотных опорных геодезических сетей п.3
A=6426 руб; 
Количество = 1 (1 пункт)</t>
  </si>
  <si>
    <t>Полный комплекс работ
(100%):
A * Количество
6426 руб * 1</t>
  </si>
  <si>
    <t>Справочник базовых цен на инженерные изыскания для строительства. Инженерно-геодезические изыскания. 2004 г. Часть I, Глава 1, Таблица 8. Цены на создание (развитие) планово-высотных опорных геодезических сетей п.3
A=2538 руб; 
Количество = 1 (1 пункт)</t>
  </si>
  <si>
    <t>Полный комплекс работ
(100%):
A * Количество
2538 руб * 1</t>
  </si>
  <si>
    <t>Коэф - т 0.2 от п.3.3</t>
  </si>
  <si>
    <t>8.75% от п.1.4</t>
  </si>
  <si>
    <t>30.8% от п.1.4, 4.1</t>
  </si>
  <si>
    <t>Коэф - т 2.5 и 6% от п.1.4, 4.1</t>
  </si>
  <si>
    <t>форма №2П
от 13.11.2021г</t>
  </si>
  <si>
    <t>Инженерно-геологические и инженерно-экологические изыскания для строительства. 1999 г. Глава 4. Колонковое бурение Таблица 17. Колонковое бурение скважин п.1
A=38.4 руб; 
Количество = 30 (1 м)</t>
  </si>
  <si>
    <t>A * Количество * Ктек * K1
38.4 руб * 30 * 1 * 1.3</t>
  </si>
  <si>
    <t>Инженерно-геологические и инженерно-экологические изыскания для строительства. 1999 г. Глава 4. Колонковое бурение Таблица 17. Колонковое бурение скважин п.1
A=42.6 руб; 
Количество = 25 (1 м)</t>
  </si>
  <si>
    <t>A * Количество * Ктек * K1
42.6 руб * 25 * 1 * 1.3</t>
  </si>
  <si>
    <t>Инженерно-геологические и инженерно-экологические изыскания для строительства. 1999 г. Глава 4. Колонковое бурение Таблица 17. Колонковое бурение скважин п.1
A=45.6 руб; 
Количество = 15 (1 м)</t>
  </si>
  <si>
    <t>A * Количество * Ктек * K1
45.6 руб * 15 * 1 * 1.3</t>
  </si>
  <si>
    <t>Инженерно-геологические и инженерно-экологические изыскания для строительства. 1999 г. Глава 4. Колонковое бурение Таблица 18. Сопутствующие работы п.4
A=2.1 руб; 
Количество = 70 (1 м)</t>
  </si>
  <si>
    <t>A * Количество * Ктек
2.1 руб * 70 * 1</t>
  </si>
  <si>
    <t>Инженерно-геологические и инженерно-экологические изыскания для строительства. 1999 г. Глава 16. Отбор проб Таблица 57. Цены на отбор монолитов связных и несвязных грунтов для лабораторных исследований из буровых скважин, горных выработок и котлованов. п.1
A=22.9 руб; 
Количество = 4 (1 монолит)</t>
  </si>
  <si>
    <t>A * Количество * Ктек
22.9 руб * 4 * 1</t>
  </si>
  <si>
    <t>Инженерно-геологические и инженерно-экологические изыскания для строительства. 1999 г. Глава 17. Единичные определения и комплексные исследования (испытания) физико-механических свойств грунтов (пород) Таблица 63. Цены на комплексные исследования физико-механических свойств глинистых грунтов. п.8
A=47.1 руб; 
Количество = 4 (1 образец)</t>
  </si>
  <si>
    <t>A * Количество * Ктек
47.1 руб * 4 * 1</t>
  </si>
  <si>
    <t>Инженерно-геологические и инженерно-экологические изыскания для строительства. 1999 г. Глава 17. Единичные определения и комплексные исследования (испытания) физико-механических свойств грунтов (пород) Таблица 63. Цены на комплексные исследования физико-механических свойств глинистых грунтов. п.25
A=193 руб; 
Количество = 4 (1 образец)</t>
  </si>
  <si>
    <t>A * Количество * Ктек
193 руб * 4 * 1</t>
  </si>
  <si>
    <t>Инженерно-геологические и инженерно-экологические изыскания для строительства. 1999 г. Глава 17. Единичные определения и комплексные исследования (испытания) физико-механических свойств грунтов (пород) Таблица 65. Цены на комплексные исследования физико-механических свойств песчаных грунтов. п.1
A=45.5 руб; 
Количество = 4 (1 образец)</t>
  </si>
  <si>
    <t>A * Количество * Ктек
45.5 руб * 4 * 1</t>
  </si>
  <si>
    <t>Инженерно-геологические и инженерно-экологические изыскания для строительства. 1999 г. Глава 17. Единичные определения и комплексные исследования (испытания) физико-механических свойств грунтов (пород) Таблица 62. Цены на единичные определения физико-механических свойств глинистых грунтов. п.27
A=14.4 руб; 
Количество = 4 (1 образец)</t>
  </si>
  <si>
    <t>A * Количество * Ктек
14.4 руб * 4 * 1</t>
  </si>
  <si>
    <t>Инженерно-геологические и инженерно-экологические изыскания для строительства. 1999 г. Глава 18. Единичные определения и комплексные исследования химического состава грунтов (почв) и воды Таблица 70. Цены на единичные определения химического состава грунтов (почв). п.83
A=3.8 руб; 
Количество = 2 (1 образец)</t>
  </si>
  <si>
    <t>A * Количество * Ктек
3.8 руб * 2 * 1</t>
  </si>
  <si>
    <t>Инженерно-гидрометеорологические изыскания</t>
  </si>
  <si>
    <t>Комплексное предварительное обследование состояния материалов и конструкций памятника. Объем памятника до 10,0 тыс.м3 (5128 м3). III категория сложности</t>
  </si>
  <si>
    <t xml:space="preserve">
форма №2П
от 13.11.2021г</t>
  </si>
  <si>
    <t>Разработка раздела об обеспечении сохранности объектов культурного наследия при проведении инженерных изысканий с ГИКЭ.</t>
  </si>
  <si>
    <t>Разработка раздела об обеспечении сохранности объектов культурного наследия припроведении инженерных изысканий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</si>
  <si>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1.15 Составление текстовых материалов научно-проектной документации п.3
Тчд=83.25 (чел.дн);
Счд=540 (руб.);
Осн. показ. Xзад=0.5 (печатный лист);</t>
  </si>
  <si>
    <t>Полный комплекс работ
(100%):
Тчд * Xзад * Счд * Ктек * K1
83.25 * 0.5 * 540 * 1 * 1.2</t>
  </si>
  <si>
    <t>Итого Разработка раздела об обеспечении сохранности объектов культурного наследия припроведении инженерных изысканий:</t>
  </si>
  <si>
    <t>Всего Разработка раздела об обеспечении сохранности объектов культурного наследия припроведении инженерных изысканий: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</si>
  <si>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1.15 Составление текстовых материалов научно-проектной документации п.2
Тчд=39.12 (чел.дн);
Счд=540 (руб.);
Осн. показ. Xзад=0.4 (печатный лист);</t>
  </si>
  <si>
    <t>Полный комплекс работ
(100%):
Тчд * Xзад * Счд * Ктек * K1
39.12 * 0.4 * 540 * 1 * 1.2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</si>
  <si>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1.15 Составление текстовых материалов научно-проектной документации п.3
Тчд=53.28 (чел.дн);
Счд=540 (руб.);
Осн. показ. Xзад=0.3 (печатный лист);</t>
  </si>
  <si>
    <t>Полный комплекс работ
(100%):
Тчд * Xзад * Счд * Ктек * K1
53.28 * 0.3 * 540 * 1 * 1.2</t>
  </si>
  <si>
    <t>форма №3П
от 13.11.2021г</t>
  </si>
  <si>
    <t>Подготовка демонстрационных материалов для принятия проектных решений</t>
  </si>
  <si>
    <t>Итого оплата труда (руб.) 97 324,80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</si>
  <si>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1.16 Архитектурные решения проекта реставрации памятника в целом - планы п.6, 7
Тчд(пред)=26.11 (чел.дн); Тчд(след)=37.05 (чел.дн);
Хпред=5.0; Хслед=7.0;
Осн. показ. Xзад=5.128 (1 тыс. м3);
Количество = 1 (памятник)</t>
  </si>
  <si>
    <t>Полный комплекс работ
(100%):
(Тчд(пред) + ((Тчд(след) - Тчд(пред)) / (Xслед - Xпред)) * (Xзад - Xпред)) * Количество * Счд * Ктек * K1 * K2
(26.11 + ((37.05 - 26.11) / (7 - 5)) * (5.128 - 5)) * 1 * 540 * 4 * 1.25 * 1.2</t>
  </si>
  <si>
    <t>При утрате первоначального облика памятника до 50% применять коэффициент</t>
  </si>
  <si>
    <t>K1 = 1.25
Раздел 1 пояснения к табл. 1.16 п.1 (Ценообразующий)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</si>
  <si>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1.17 Архитектурные решения проекта реставрации памятника в целом - фасады п.6, 7
Тчд(пред)=19.57 (чел.дн); Тчд(след)=21.58 (чел.дн);
Хпред=5.0; Хслед=7.0;
Осн. показ. Xзад=5.128 (1 тыс. м3);
Количество = 1 (памятник)</t>
  </si>
  <si>
    <t>Полный комплекс работ
(100%):
(Тчд(пред) + ((Тчд(след) - Тчд(пред)) / (Xслед - Xпред)) * (Xзад - Xпред)) * Количество * Счд * Ктек * K1 * K2
(19.57 + ((21.58 - 19.57) / (7 - 5)) * (5.128 - 5)) * 1 * 540 * 4 * 1.5 * 1.2</t>
  </si>
  <si>
    <t>K1 = 1.5
Раздел 1 пояснения к табл. 1.17 п.1 (Ценообразующий)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</si>
  <si>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 Таблица 1.18 Архитектурные решения проекта реставрации памятника в целом - разрезы п.6, 7
Тчд(пред)=8.64 (чел.дн); Тчд(след)=9.61 (чел.дн);
Хпред=5.0; Хслед=7.0;
Осн. показ. Xзад=5.128 (1 тыс. м3);
Количество = 1 (памятник)</t>
  </si>
  <si>
    <t>Полный комплекс работ
(100%):
(Тчд(пред) + ((Тчд(след) - Тчд(пред)) / (Xслед - Xпред)) * (Xзад - Xпред)) * Количество * Счд * Ктек * K1 * K2
(8.64 + ((9.61 - 8.64) / (7 - 5)) * (5.128 - 5)) * 1 * 540 * 4 * 1.4 * 1.2</t>
  </si>
  <si>
    <t>K1 = 1.4
Раздел 1 пояснения к табл. 1.18 п.1 (Ценообразующий)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</si>
  <si>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1.19 Конструктивные решения проекта реставрации памятника в целом п.6, 7
Тчд(пред)=24.17 (чел.дн); Тчд(след)=26.9 (чел.дн);
Хпред=5.0; Хслед=7.0;
Осн. показ. Xзад=5.128 (1 тыс. м3);
Количество = 1 (памятник)</t>
  </si>
  <si>
    <t>Полный комплекс работ
(100%):
(Тчд(пред) + ((Тчд(след) - Тчд(пред)) / (Xслед - Xпред)) * (Xзад - Xпред)) * Количество * Счд * Ктек * K1 * K2 * K3
(24.17 + ((26.9 - 24.17) / (7 - 5)) * (5.128 - 5)) * 1 * 540 * 4 * 1.38 * 3 * 1.2</t>
  </si>
  <si>
    <t>K1 = 1.38
Раздел 1 пояснения к табл. 1.19 п.1 (Ценообразующий)</t>
  </si>
  <si>
    <t>K2 = 3
Раздел 1 пояснения к табл. 1.19 п.2 (Ценообразующий)</t>
  </si>
  <si>
    <t>K3 = 1.2
Общая часть п. 1.5 (Ценообразующий)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</si>
  <si>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1.20 Основные решения по организации реставрации памятника п.6, 7
Тчд(пред)=14.12 (чел.дн); Тчд(след)=17.74 (чел.дн);
Хпред=5.0; Хслед=7.0;
Осн. показ. Xзад=5.128 (1 тыс. м3);
Количество = 1 (памятник)</t>
  </si>
  <si>
    <t>Полный комплекс работ
(100%):
(Тчд(пред) + ((Тчд(след) - Тчд(пред)) / (Xслед - Xпред)) * (Xзад - Xпред)) * Количество * Счд * Ктек * K1
(14.12 + ((17.74 - 14.12) / (7 - 5)) * (5.128 - 5)) * 1 * 540 * 4 * 1.2</t>
  </si>
  <si>
    <t>Музеи, выставочные залы. Объем до 10.0 тыс.м3. 5 128 м3)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</si>
  <si>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1.21 Архитектурно-строительные чертежи по памятнику в целом - планы п.6, 7
Тчд(пред)=10.97 (чел.дн); Тчд(след)=15.56 (чел.дн);
Хпред=5.0; Хслед=7.0;
Осн. показ. Xзад=5.128 (1 тыс. м3);
Количество = 1 (памятник)</t>
  </si>
  <si>
    <t>Полный комплекс работ
(100%):
(Тчд(пред) + ((Тчд(след) - Тчд(пред)) / (Xслед - Xпред)) * (Xзад - Xпред)) * Количество * Счд * Ктек * K1
(10.97 + ((15.56 - 10.97) / (7 - 5)) * (5.128 - 5)) * 1 * 540 * 4 * 1.2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</si>
  <si>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1.22 Архитектурно-строительные рабочие чертежи по памятнику в целом - фасады п.6, 7
Тчд(пред)=8.22 (чел.дн); Тчд(след)=9.06 (чел.дн);
Хпред=5.0; Хслед=7.0;
Осн. показ. Xзад=5.128 (1 тыс. м3);
Количество = 1 (памятник)</t>
  </si>
  <si>
    <t>Полный комплекс работ
(100%):
(Тчд(пред) + ((Тчд(след) - Тчд(пред)) / (Xслед - Xпред)) * (Xзад - Xпред)) * Количество * Счд * Ктек * K1
(8.22 + ((9.06 - 8.22) / (7 - 5)) * (5.128 - 5)) * 1 * 540 * 4 * 1.2</t>
  </si>
  <si>
    <t>Методические рекомендации по определению стоимости научно-проектных работ для реставрации недвижимых памятников истории и культуры Раздел 1. Здания и сооружения, в том числе малые архитектурные формы и народное деревянное зодчество Таблица 1.23 Архитектурно-строительные чертежи по памятнику в целом - разрезы п.6, 7
Тчд(пред)=3.63 (чел.дн); Тчд(след)=4.04 (чел.дн);
Хпред=5.0; Хслед=7.0;
Осн. показ. Xзад=5.128 (1 тыс. м3);
Количество = 1 (памятник)</t>
  </si>
  <si>
    <t>Полный комплекс работ
(100%):
(Тчд(пред) + ((Тчд(след) - Тчд(пред)) / (Xслед - Xпред)) * (Xзад - Xпред)) * Количество * Счд * Ктек * K1
(3.63 + ((4.04 - 3.63) / (7 - 5)) * (5.128 - 5)) * 1 * 540 * 4 * 1.2</t>
  </si>
  <si>
    <t>Музеи, выставочные залы. Объем до 10.0 тыс.м3. (5 128 м3)</t>
  </si>
  <si>
    <t>Смета №22</t>
  </si>
  <si>
    <t>Смета №23</t>
  </si>
  <si>
    <t>от 13.11.2021г</t>
  </si>
  <si>
    <t>Расчет по РГЭ                       (ориент.=5 000 000,00 х 1,8/100)</t>
  </si>
  <si>
    <t>смета №12</t>
  </si>
  <si>
    <t>смета №13</t>
  </si>
  <si>
    <t>сметы №№15,16</t>
  </si>
  <si>
    <t>смета №23</t>
  </si>
  <si>
    <t>Смета №24</t>
  </si>
  <si>
    <t>смета №24</t>
  </si>
  <si>
    <t>34</t>
  </si>
  <si>
    <t>35</t>
  </si>
  <si>
    <t xml:space="preserve">ПОС </t>
  </si>
  <si>
    <t>Сметы</t>
  </si>
  <si>
    <t>Проект реставрации без ПОС и Смет</t>
  </si>
  <si>
    <t>ОВОС=</t>
  </si>
  <si>
    <t>форма №2П
от 11.12.2021г</t>
  </si>
  <si>
    <t>на инженерно-экологические изыскания</t>
  </si>
  <si>
    <t>Инженерно-экологические изыскания</t>
  </si>
  <si>
    <t>Описание точек наблюдений при составлении инженерно-экологических карт . Категория сложности II</t>
  </si>
  <si>
    <t>1 точка</t>
  </si>
  <si>
    <t>Инженерно-геологические и инженерно-экологические изыскания для строительства. 1999 г. Глава 2. Маршрутные наблюдения, выполняемые при составлении инженерно-геологических, инженерно-гидрогеологических и инженерно-экологических карт масштабов 1:50000-1:500 Таблица 11. Описание точек наблюдений при составлении инженерно-геологических (гидрогеологических) и инженерно-экологических карт п.2
A=11.7 руб; 
Количество = 4 (1 точка)</t>
  </si>
  <si>
    <t>Полный комплекс работ
(100%):
A * Количество * K1
11.7 руб * 4 * 0.4</t>
  </si>
  <si>
    <t>При выполнении маршрутных наблюдений для составления других карт к ценам применяются коэффициенты: почвенная карта</t>
  </si>
  <si>
    <t>K1 = 0.4
Часть I, Глава 2, примечание 1 к табл.11 (Ценообразующий)</t>
  </si>
  <si>
    <t>Отбор точечных проб для анализа на загрязненность по химическим показателям:почво-грунтов (методами конверта, по диагонали и т.п.)</t>
  </si>
  <si>
    <t>1 проба</t>
  </si>
  <si>
    <t>Инженерно-геологические и инженерно-экологические изыскания для строительства. 1999 г. Глава 16. Отбор проб Таблица 060. Цены на отбор проб воды, льда, снега, донных отложений, почво-грунтов, воздуха почвенного (грунтового) и приземной атмосферы для анализов на загрязненность по химическим и бактериологическим (микробиологическим и гидробиологическим) показателям. п.7
A=6.9 руб; 
Количество = 2 (1 проба)</t>
  </si>
  <si>
    <t>Полный комплекс работ
(100%):
A * Количество * K1 * K2 * K3
6.9 руб * 2 * 5 * 0.9 * 1.2</t>
  </si>
  <si>
    <t>Количество точечных проб в составе 1 объединённой пробы</t>
  </si>
  <si>
    <t>K1 = 5 (Ценообразующий)</t>
  </si>
  <si>
    <t>Стоимость отбора объединенной пробы определяется умножением количества точечных проб, составляющих объединенную, на соответствующую цену с коэффициентом</t>
  </si>
  <si>
    <t>K2 = 0.9
Часть V, Глава 16, примечание 1 к таблице 60 (Ценообразующий)</t>
  </si>
  <si>
    <t>Стоимость отбора пробы на радиоактивное загрязнение или газохимические исследования определяется с коэффициентом</t>
  </si>
  <si>
    <t>K3 = 1.2
Часть V, Глава 16, примечание 2 к таблице 60 (Ценообразующий)</t>
  </si>
  <si>
    <t>Отбор проб для бактериологического анализа:почво-грунтов с одной пробной площадки</t>
  </si>
  <si>
    <t>Инженерно-геологические и инженерно-экологические изыскания для строительства. 1999 г. Глава 16. Отбор проб Таблица 60. Цены на отбор проб воды, льда, снега, донных отложений, почво-грунтов, воздуха почвенного (грунтового) и приземной атмосферы для анализов на загрязненность по химическим и бактериологическим (микробиологическим и гидробиологическим) показателям. п.10
A=37.7 руб; 
Количество = 2 (1 проба)</t>
  </si>
  <si>
    <t>Полный комплекс работ
(100%):
A * Количество * K1 * K2
37.7 руб * 2 * 10 * 0.9</t>
  </si>
  <si>
    <t>K1 = 10 (Ценообразующий)</t>
  </si>
  <si>
    <t>Стоимость отбора пробы почво-грунтов на гельминтологический анализ определяется по цене с применением коэффициента</t>
  </si>
  <si>
    <t>K2 = 0.9
Часть V, Глава 16, примечание 4 к таблице 60 (Ценообразующий)</t>
  </si>
  <si>
    <t>Отбор точечных проб для анализа на загрязненность по химическим показателям:воды с глубины более 0,5 м</t>
  </si>
  <si>
    <t>Инженерно-геологические и инженерно-экологические изыскания для строительства. 1999 г. Глава 16. Отбор проб Таблица 60. Цены на отбор проб воды, льда, снега, донных отложений, почво-грунтов, воздуха почвенного (грунтового) и приземной атмосферы для анализов на загрязненность по химическим и бактериологическим (микробиологическим и гидробиологическим) показателям. п.2
A=7.6 руб; 
Количество = 2 (1 проба)</t>
  </si>
  <si>
    <t>Полный комплекс работ
(100%):
A * Количество * K1
7.6 руб * 2 * 0.5</t>
  </si>
  <si>
    <t>При отборе пробы без использования плавсредств к ценам применяется коэффициент</t>
  </si>
  <si>
    <t>K1 = 0.5
Часть V, Глава 16, примечание 3 к таблице 60 (Ценообразующий)</t>
  </si>
  <si>
    <t>Отбор точечных проб для анализа на загрязненность по химическим показателям:воды с поверхности</t>
  </si>
  <si>
    <t>Инженерно-геологические и инженерно-экологические изыскания для строительства. 1999 г. Глава 16. Отбор проб Таблица 060. Цены на отбор проб воды, льда, снега, донных отложений, почво-грунтов, воздуха почвенного (грунтового) и приземной атмосферы для анализов на загрязненность по химическим и бактериологическим (микробиологическим и гидробиологическим) показателям. п.1
A=4.6 руб; 
Количество = 1 (1 проба)</t>
  </si>
  <si>
    <t>Полный комплекс работ
(100%):
A * Количество * K1
4.6 руб * 1 * 0.5</t>
  </si>
  <si>
    <t>Отбор проб для бактериологического анализа:воды</t>
  </si>
  <si>
    <t>Инженерно-геологические и инженерно-экологические изыскания для строительства. 1999 г. Глава 16. Отбор проб Таблица 60. Цены на отбор проб воды, льда, снега, донных отложений, почво-грунтов, воздуха почвенного (грунтового) и приземной атмосферы для анализов на загрязненность по химическим и бактериологическим (микробиологическим и гидробиологическим) показателям. п.9
A=18.8 руб; 
Количество = 2 (1 проба)</t>
  </si>
  <si>
    <t>Полный комплекс работ
(100%):
A * Количество * K1
18.8 руб * 2 * 0.85</t>
  </si>
  <si>
    <t>K1 = 0.85
Часть V, Глава 16, примечание 3 к таблице 60 (Ценообразующий)</t>
  </si>
  <si>
    <t>Отбор точечных проб для анализа на загрязненность по химическим показателям:воздуха почвенного (грунтового) и приземной атмосферы (пробоотборниками)</t>
  </si>
  <si>
    <t>Инженерно-геологические и инженерно-экологические изыскания для строительства. 1999 г. Глава 16. Отбор проб Таблица 060. Цены на отбор проб воды, льда, снега, донных отложений, почво-грунтов, воздуха почвенного (грунтового) и приземной атмосферы для анализов на загрязненность по химическим и бактериологическим (микробиологическим и гидробиологическим) показателям. п.8
A=9.7 руб; 
Количество = 2 (1 проба)</t>
  </si>
  <si>
    <t>Полный комплекс работ
(100%):
A * Количество
9.7 руб * 2</t>
  </si>
  <si>
    <t>Надбавка при выполнении изысканий в местностях, приравненых к районам Крайнего Севера</t>
  </si>
  <si>
    <t>СБЦ на инженерно-геологические и инженерно-экологические изыскания для строительства (ОУ п. 8е )</t>
  </si>
  <si>
    <t>Коэф - т 0.25 от п.1.8</t>
  </si>
  <si>
    <t>Комплексные исследования химического состава грунтов (почв). Валовой анализ грунтов и почв, анализ нерастворимого остатка. Гидроскопическая влажность, двуокись кремния, сумма полуторных окислов, общее железо, алюминий, закисное железо, титан. марганец, кальций и магний, валовая сера, потери при прокаливании, натрий и калий методом пламенной фотометрии, углекислота карбонатов</t>
  </si>
  <si>
    <t>Инженерно-геологические и инженерно-экологические изыскания для строительства. 1999 г. Глава 18. Единичные определения и комплексные исследования химического состава грунтов (почв) и воды Таблица 071. Цены на комплексные исследования химического состава грунтов (почв). п.7
A=162.1 руб; 
Количество = 10 (1 образец)</t>
  </si>
  <si>
    <t>Полный комплекс работ
(100%):
A * Количество
162.1 руб * 10</t>
  </si>
  <si>
    <t>Определения химического состава грунтов (почв). Определение полициклических ароматических углеводородов хроматографическим методом</t>
  </si>
  <si>
    <t>Инженерно-геологические и инженерно-экологические изыскания для строительства. 1999 г. Глава 18. Единичные определения и комплексные исследования химического состава грунтов (почв) и воды Таблица 70. Цены на единичные определения химического состава грунтов (почв). п.66
A=95.8 руб; 
Количество = 10 (1 образец)</t>
  </si>
  <si>
    <t>Полный комплекс работ
(100%):
A * Количество
95.8 руб * 10</t>
  </si>
  <si>
    <t>Комплексные исследования химического состава. Анализ воды подземных источников хозяйственно-питьевого водоснабжения. Запах при 20 и 60 град. С, цветность (по шкале), вкус, мутность по стандартной шкале, сухой остаток, хлориды, сульфаты, гидрокарбонаты и карбонаты, кальций, магний, железо2+, железо3+, водородный показатель - рН, марганец, медь, цинк, нитраты, бериллий, молибден, мышьяк, свинец, селен, стронций, фтор, уран, радий, фосфор, нитриты, аммоний солевой, окисляемость перманентная, БПК-5, поверхностно-активные вещества (ПАВ), сумма натрия и калия, и виды жестокости (расчетом)</t>
  </si>
  <si>
    <t>Инженерно-геологические и инженерно-экологические изыскания для строительства. 1999 г. Глава 18. Единичные определения и комплексные исследования химического состава грунтов (почв) и воды Таблица 073. Цены на комплексные исследования химического состава воды. п.4
A=256.9 руб; 
Количество = 3 (1 проба)</t>
  </si>
  <si>
    <t>Полный комплекс работ
(100%):
A * Количество
256.9 руб * 3</t>
  </si>
  <si>
    <t>Цены на составление программы производства работ. Средняя глубина исследования свыше 10 до 15 м. Исследуемая площадь до 1 км</t>
  </si>
  <si>
    <t>1 программа</t>
  </si>
  <si>
    <t>Инженерно-геологические и инженерно-экологические. 1999 г. Глава 27. Регистрация изыскательских работ и приемка материалов инженерных изысканий Таблица 081. Цены на составление программы производства работ. п.3
A=800 руб; 
Количество = 1 (1 программа)</t>
  </si>
  <si>
    <t>Полный комплекс работ
(100%):
A * Количество * K1
800 руб * 1 * 1.25</t>
  </si>
  <si>
    <t>Для районов II категории сложности инженерно-геологических условий к ценам применяется коэффициент</t>
  </si>
  <si>
    <t>K1 = 1.25
Часть VII, Глава 20, примечание 1 к таблице 81 (Ценообразующий)</t>
  </si>
  <si>
    <t>Инженерно-геологические и инженерно-экологические изыскания для строительства. 1999 г. Глава 2. Маршрутные наблюдения, выполняемые при составлении инженерно-геологических, инженерно-гидрогеологических и инженерно-экологических карт масштабов 1:50000-1:500 Таблица 11. Описание точек наблюдений при составлении инженерно-геологических (гидрогеологических) и инженерно-экологических карт п.2
A=7.5 руб; 
Количество = 4 (1 точка)</t>
  </si>
  <si>
    <t>Полный комплекс работ
(100%):
A * Количество * K1
7.5 руб * 4 * 0.4</t>
  </si>
  <si>
    <t>Камеральная обработка комплексных исследований и отдельных определений химического состава грунтов и почв</t>
  </si>
  <si>
    <t>СБЦ на инженерно-геологические и инженерно-экологические изыскания для строительства (табл. 86 п.4)</t>
  </si>
  <si>
    <t>12.0% от п.2.1 - 2.2 с начислениями</t>
  </si>
  <si>
    <t>Камеральная обработка комплексных исследований и отдельных определений химического и бактериологического состава воды</t>
  </si>
  <si>
    <t>СБЦ на инженерно-геологические и инженерно-экологические изыскания для строительства (табл. 86 п.5)</t>
  </si>
  <si>
    <t>15.0% от п.2.3 с начислениями</t>
  </si>
  <si>
    <t>Составление технического отчета (заключения) о результатах выполненных работ. Стоимость камеральных работ  до 5 тыс.руб. Категория сложности инженерно-геологических условий II</t>
  </si>
  <si>
    <t>СБЦ на инженерно-геологические и инженерно-экологические изыскания для строительства (табл. 87)</t>
  </si>
  <si>
    <t>21% от п.3.3 - 3.5</t>
  </si>
  <si>
    <t>8.75% от п.1.10</t>
  </si>
  <si>
    <t>36.4% от п.1.10, 4.1</t>
  </si>
  <si>
    <t>Коэф - т 2.5 и 6% от п.1.10, 4.1</t>
  </si>
  <si>
    <t>Коэф - т 54.75 от п.5</t>
  </si>
  <si>
    <t>Смета №25</t>
  </si>
  <si>
    <t>Инженерное обследование и обмеры</t>
  </si>
  <si>
    <t>Сметный расчет составлен по следующим документам: Справочник базовых цен на обмерные работы и обследования зданий и сооружений. 2016 г.</t>
  </si>
  <si>
    <t>Выполнение обмерных работ для бескаркасных многоэтажных зданий. III категория сложности работ. III категория сложности здания. Высота здания до 8 м.</t>
  </si>
  <si>
    <t>Справочник базовых цен на обмерные работы и обследования зданий и сооружений. 2016 г. Глава 3. Базовые цены на выполнение обмерных работ и обследований. Таблица 2. Базовые цены на выполнение обмерных работ для многоэтажных зданий, п.6
B=0.8952 тыс.руб;
Осн. показ. Х=51.28 (100 м3) 
Количество = 1</t>
  </si>
  <si>
    <t>(A + B * Xзад) * Количество * Ктек * K1 * K2 * K3
(0 руб + 895.2 руб * 51.28) * 1 * 1 * 1.2 * 1.25 * 1.15</t>
  </si>
  <si>
    <t>Выполнение работ в неотапливаемых зданиях или его частях (чердаки, кровли, фасады и др.) в неблагоприятный период года</t>
  </si>
  <si>
    <t>K1 = 1.2
Таблица 10, п.4 (Ценообразующий)</t>
  </si>
  <si>
    <t>Выполнение работ в зданиях, являющихся памятником архитектуры</t>
  </si>
  <si>
    <t>K2 = 1.25
Таблица 10, п.5 (Ценообразующий)</t>
  </si>
  <si>
    <t>Выполнение работ в условиях, требующих обеспечение безопасности (использование дополнительных лестниц и различных приспособлений)</t>
  </si>
  <si>
    <t>K3 = 1.15
Таблица 10, п.6 (Ценообразующий)</t>
  </si>
  <si>
    <t>1. Пла фун и фун</t>
  </si>
  <si>
    <t>2. Поэ пла зда</t>
  </si>
  <si>
    <t>3. Пла пол с опр сос пол</t>
  </si>
  <si>
    <t>4. Поп и про раз с узл соп кон</t>
  </si>
  <si>
    <t>5. Фас, окн, вор</t>
  </si>
  <si>
    <t>6. Лес</t>
  </si>
  <si>
    <t>7. Пла кон пер со вск</t>
  </si>
  <si>
    <t>8. Кры</t>
  </si>
  <si>
    <t>9. Пла кро со вск</t>
  </si>
  <si>
    <t>Выполнение инженерных обследований строительных конструкций бескаркасных многоэтажных зданий. III категория сложности работ. III категория сложности здания. Высота здания до 8 м.</t>
  </si>
  <si>
    <t>Справочник базовых цен на обмерные работы и обследования зданий и сооружений. 2016 г. Глава 3. Базовые цены на выполнение обмерных работ и обследований. Таблица 4. Цены на выполнение инженерных обследований строительных конструкций многоэтажных зданий, п.6
B=0.8806 тыс.руб;
Осн. показ. Х=51.28 (100 м3) 
Количество = 1</t>
  </si>
  <si>
    <t>(A + B * Xзад) * Количество * Ктек * K1 * K2 * K3
(0 руб + 880.6 руб * 51.28) * 1 * 1 * 1.2 * 1.25 * 1.15</t>
  </si>
  <si>
    <t>1. Фун</t>
  </si>
  <si>
    <t>2. Сте, пер, окн, две, вор</t>
  </si>
  <si>
    <t>3. Пол</t>
  </si>
  <si>
    <t>4. Лес</t>
  </si>
  <si>
    <t>5. Пер</t>
  </si>
  <si>
    <t>6. Сов пок или кры</t>
  </si>
  <si>
    <t>7. Кро</t>
  </si>
  <si>
    <t>Определение физических характеристик материалов кровли и перекрытий. Вскрытие кровли и перекрытий с отбором образцов (кровли, утеплителя).</t>
  </si>
  <si>
    <t>Справочник базовых цен на обмерные работы и обследования зданий и сооружений. 2016 г. Глава 3. Базовые цены на выполнение обмерных работ и обследований. Таблица 14. Базовые цены на отбор проб и испытания строительных материалов, п.13.1
B=0.077 тыс.руб;
Осн. показ. Х=10 (1 место) 
Количество = 1</t>
  </si>
  <si>
    <t>(A + B * Xзад) * Количество * Ктек * K1 * K2 * K3
(0 руб + 77 руб * 10) * 1 * 1 * 1.2 * 1.25 * 1.15</t>
  </si>
  <si>
    <t>Испытание древесины. Микологический анализ (определение вида грибка).</t>
  </si>
  <si>
    <t>Справочник базовых цен на обмерные работы и обследования зданий и сооружений. 2016 г. Глава 3. Базовые цены на выполнение обмерных работ и обследований. Таблица 14. Базовые цены на отбор проб и испытания строительных материалов, п.11.2
B=0.1208 тыс.руб;
Осн. показ. Х=5 (1 проба) 
Количество = 1</t>
  </si>
  <si>
    <t>(A + B * Xзад) * Количество * Ктек
(0 руб + 120.8 руб * 5) * 1 * 1</t>
  </si>
  <si>
    <t>Коэф - т 4.82 от п.5</t>
  </si>
  <si>
    <t xml:space="preserve">форма №2П
от 11.12.2021г
</t>
  </si>
  <si>
    <t>Смета №26</t>
  </si>
  <si>
    <t>Эскизный проект</t>
  </si>
  <si>
    <t>Объем памятника. IV категория сложности</t>
  </si>
  <si>
    <t>Сборник цен на научно-проектные работы по памятникам истории и культуры. 1991 г. Раздел 1 Реставрация памятников истории и архитектуры, Глава 3 Проектные работы, Таблица 1-13. Комплексная разработка эскизного проекта п.
Aпред=2.790 тыс.руб; Aслед=3.140 тыс.руб; 
Хпред=5.0; Хслед=7.0; 
Осн. показ. Х=5.128 (тыс. м3)
Количество = 1</t>
  </si>
  <si>
    <t>Полный комплекс работ
(100%):
(Aпред + (Aслед - Aпред) / (Xслед - Xпред) * (X - Xпред)) * Количество * Ктек
(2790 руб + (3140 руб - 2790 руб) / (7 - 5) * (5.128 - 5)) * 1 * 58.4</t>
  </si>
  <si>
    <t>инд.4кв.2011г. к 1991г. пересчета провед. научно-проектных раб.</t>
  </si>
  <si>
    <t>Ктек = 58.4
Письмо Минкультуры РФ от 13.10.1998 № 01-211/16-14, Письмо Минкультуры РФ от 20.12.2011 № 107-01-39/10-КЧ</t>
  </si>
  <si>
    <t>Площадь фасадов до 600 м2. IV категория сложности</t>
  </si>
  <si>
    <t>Сборник цен на научно-проектные работы по памятникам истории и культуры. 1991 г. Раздел 1 Реставрация памятников истории и архитектуры, Глава 3 Проектные работы, Таблица 1-14. Комплексная разработка эскизного проекта п.7
A=0.610 тыс.руб; 
Количество = 2 (фасад)</t>
  </si>
  <si>
    <t>Полный комплекс работ
(100%):
A * Количество * Ктек
610 руб * 2 * 58.4</t>
  </si>
  <si>
    <t>Площадь фасадов до 300 м2. IV категория сложности</t>
  </si>
  <si>
    <t>Сборник цен на научно-проектные работы по памятникам истории и культуры. 1991 г. Раздел 1 Реставрация памятников истории и архитектуры, Глава 3 Проектные работы, Таблица 1-14. Комплексная разработка эскизного проекта п.4
A=0.400 тыс.руб; 
Количество = 2 (фасад)</t>
  </si>
  <si>
    <t>Полный комплекс работ
(100%):
A * Количество * Ктек
400 руб * 2 * 58.4</t>
  </si>
  <si>
    <t>Итого Эскизный проект:</t>
  </si>
  <si>
    <t>Всего Эскизный проект:</t>
  </si>
  <si>
    <t>Смета №27</t>
  </si>
  <si>
    <t>Разработка раздела документации об обеспечении сохранности выявленного объекта археологического наследия федерального значения «Культурный слой поселка Соловецкий» с ГИКЭ</t>
  </si>
  <si>
    <t>форма №3П
от 11.12.2021г</t>
  </si>
  <si>
    <t>Специальные технические условия</t>
  </si>
  <si>
    <t>Итого оплата труда (руб.) 212 044,32</t>
  </si>
  <si>
    <t>смета №26</t>
  </si>
  <si>
    <t>смета №25</t>
  </si>
  <si>
    <t xml:space="preserve">Разработка раздела документации об обеспечении сохранности выявленного объекта археологического наследия федерального значения «Культурный слой поселка Соловецкий» с ГИКЭ </t>
  </si>
  <si>
    <t>смета №27</t>
  </si>
  <si>
    <t>смета №28</t>
  </si>
  <si>
    <t>36</t>
  </si>
  <si>
    <t>37</t>
  </si>
  <si>
    <t>38</t>
  </si>
  <si>
    <t>39</t>
  </si>
  <si>
    <t>40</t>
  </si>
  <si>
    <t>ПД без ОВОС=</t>
  </si>
  <si>
    <t>ПОС=</t>
  </si>
  <si>
    <t>Сметы=</t>
  </si>
  <si>
    <t>ПД без ОВОС, ПОС и Смет=</t>
  </si>
  <si>
    <t>РД без ОВОС=</t>
  </si>
  <si>
    <t>1 927 946,42</t>
  </si>
  <si>
    <t>Смета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</si>
</sst>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###%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6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</font>
    <font>
      <sz val="10"/>
      <color indexed="8"/>
      <name val="Arial"/>
      <family val="2"/>
      <charset val="204"/>
    </font>
    <font>
      <sz val="10"/>
      <name val="Tahoma"/>
      <family val="2"/>
      <charset val="204"/>
    </font>
    <font>
      <u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6"/>
      <name val="Franklin Gothic Book"/>
      <family val="2"/>
      <charset val="204"/>
    </font>
    <font>
      <b/>
      <sz val="6"/>
      <name val="Franklin Gothic Book"/>
      <family val="2"/>
      <charset val="204"/>
    </font>
    <font>
      <sz val="8"/>
      <color indexed="8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sz val="8"/>
      <name val="Franklin Gothic Book"/>
      <family val="2"/>
      <charset val="204"/>
    </font>
    <font>
      <b/>
      <sz val="8"/>
      <name val="Franklin Gothic Book"/>
      <family val="2"/>
      <charset val="204"/>
    </font>
    <font>
      <sz val="8"/>
      <color theme="1"/>
      <name val="Franklin Gothic Book"/>
      <family val="2"/>
      <charset val="204"/>
    </font>
    <font>
      <b/>
      <sz val="8"/>
      <color theme="1"/>
      <name val="Franklin Gothic Book"/>
      <family val="2"/>
      <charset val="204"/>
    </font>
    <font>
      <sz val="8"/>
      <color rgb="FF000000"/>
      <name val="Franklin Gothic Book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5" fillId="0" borderId="0"/>
    <xf numFmtId="0" fontId="3" fillId="0" borderId="0"/>
    <xf numFmtId="0" fontId="19" fillId="0" borderId="0"/>
  </cellStyleXfs>
  <cellXfs count="335">
    <xf numFmtId="0" fontId="0" fillId="0" borderId="0" xfId="0"/>
    <xf numFmtId="49" fontId="4" fillId="0" borderId="0" xfId="4" applyNumberFormat="1" applyFont="1" applyAlignment="1">
      <alignment vertical="top" wrapText="1"/>
    </xf>
    <xf numFmtId="0" fontId="7" fillId="0" borderId="0" xfId="1" applyFont="1"/>
    <xf numFmtId="0" fontId="4" fillId="0" borderId="0" xfId="1" applyFont="1"/>
    <xf numFmtId="0" fontId="9" fillId="0" borderId="0" xfId="1" applyFont="1"/>
    <xf numFmtId="0" fontId="9" fillId="0" borderId="0" xfId="4" applyFont="1" applyAlignment="1">
      <alignment vertical="top"/>
    </xf>
    <xf numFmtId="49" fontId="9" fillId="0" borderId="0" xfId="4" applyNumberFormat="1" applyFont="1" applyAlignment="1">
      <alignment vertical="top" wrapText="1"/>
    </xf>
    <xf numFmtId="0" fontId="13" fillId="0" borderId="0" xfId="4" applyFont="1" applyAlignment="1">
      <alignment horizontal="left" vertical="top" wrapText="1"/>
    </xf>
    <xf numFmtId="0" fontId="13" fillId="0" borderId="0" xfId="4" applyFont="1" applyAlignment="1">
      <alignment vertical="top"/>
    </xf>
    <xf numFmtId="0" fontId="9" fillId="0" borderId="0" xfId="4" applyFont="1" applyAlignment="1">
      <alignment vertical="top"/>
    </xf>
    <xf numFmtId="49" fontId="9" fillId="0" borderId="4" xfId="4" applyNumberFormat="1" applyFont="1" applyBorder="1" applyAlignment="1">
      <alignment horizontal="center" wrapText="1"/>
    </xf>
    <xf numFmtId="49" fontId="9" fillId="0" borderId="5" xfId="4" applyNumberFormat="1" applyFont="1" applyBorder="1" applyAlignment="1">
      <alignment horizontal="center" vertical="top" wrapText="1"/>
    </xf>
    <xf numFmtId="0" fontId="9" fillId="0" borderId="5" xfId="4" applyFont="1" applyBorder="1" applyAlignment="1">
      <alignment horizontal="center" vertical="top"/>
    </xf>
    <xf numFmtId="4" fontId="13" fillId="0" borderId="2" xfId="0" applyNumberFormat="1" applyFont="1" applyBorder="1" applyAlignment="1">
      <alignment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justify" vertical="center" wrapText="1"/>
    </xf>
    <xf numFmtId="0" fontId="9" fillId="0" borderId="0" xfId="4" applyFont="1"/>
    <xf numFmtId="0" fontId="9" fillId="0" borderId="6" xfId="4" applyFont="1" applyBorder="1" applyAlignment="1">
      <alignment horizontal="center" vertical="top"/>
    </xf>
    <xf numFmtId="4" fontId="13" fillId="0" borderId="2" xfId="0" applyNumberFormat="1" applyFont="1" applyBorder="1" applyAlignment="1">
      <alignment horizontal="center" vertical="center"/>
    </xf>
    <xf numFmtId="0" fontId="8" fillId="0" borderId="0" xfId="1" applyFont="1"/>
    <xf numFmtId="0" fontId="13" fillId="0" borderId="10" xfId="0" applyFont="1" applyBorder="1" applyAlignment="1">
      <alignment horizontal="justify" vertical="center" wrapText="1"/>
    </xf>
    <xf numFmtId="4" fontId="13" fillId="0" borderId="0" xfId="4" applyNumberFormat="1" applyFont="1" applyAlignment="1">
      <alignment vertical="top" wrapText="1"/>
    </xf>
    <xf numFmtId="4" fontId="12" fillId="2" borderId="2" xfId="0" applyNumberFormat="1" applyFont="1" applyFill="1" applyBorder="1" applyAlignment="1">
      <alignment vertical="center"/>
    </xf>
    <xf numFmtId="4" fontId="9" fillId="2" borderId="2" xfId="3" applyNumberFormat="1" applyFont="1" applyFill="1" applyBorder="1" applyAlignment="1">
      <alignment vertical="center" wrapText="1"/>
    </xf>
    <xf numFmtId="4" fontId="9" fillId="2" borderId="2" xfId="3" applyNumberFormat="1" applyFont="1" applyFill="1" applyBorder="1" applyAlignment="1">
      <alignment horizontal="right" vertical="center" wrapText="1"/>
    </xf>
    <xf numFmtId="4" fontId="9" fillId="2" borderId="2" xfId="1" applyNumberFormat="1" applyFont="1" applyFill="1" applyBorder="1" applyAlignment="1">
      <alignment horizontal="right" vertical="center" wrapText="1"/>
    </xf>
    <xf numFmtId="4" fontId="9" fillId="2" borderId="10" xfId="1" applyNumberFormat="1" applyFont="1" applyFill="1" applyBorder="1" applyAlignment="1">
      <alignment horizontal="right" vertical="center" wrapText="1"/>
    </xf>
    <xf numFmtId="4" fontId="9" fillId="2" borderId="2" xfId="1" applyNumberFormat="1" applyFont="1" applyFill="1" applyBorder="1" applyAlignment="1">
      <alignment vertical="center" wrapText="1"/>
    </xf>
    <xf numFmtId="4" fontId="12" fillId="2" borderId="2" xfId="0" applyNumberFormat="1" applyFont="1" applyFill="1" applyBorder="1" applyAlignment="1">
      <alignment horizontal="right" vertical="center"/>
    </xf>
    <xf numFmtId="4" fontId="9" fillId="2" borderId="9" xfId="1" applyNumberFormat="1" applyFont="1" applyFill="1" applyBorder="1" applyAlignment="1">
      <alignment horizontal="right" vertical="center" wrapText="1"/>
    </xf>
    <xf numFmtId="4" fontId="9" fillId="2" borderId="10" xfId="3" applyNumberFormat="1" applyFont="1" applyFill="1" applyBorder="1" applyAlignment="1">
      <alignment vertical="center" wrapText="1"/>
    </xf>
    <xf numFmtId="4" fontId="13" fillId="0" borderId="10" xfId="0" applyNumberFormat="1" applyFont="1" applyBorder="1" applyAlignment="1">
      <alignment horizontal="center" vertical="center"/>
    </xf>
    <xf numFmtId="0" fontId="9" fillId="2" borderId="10" xfId="0" applyFont="1" applyFill="1" applyBorder="1" applyAlignment="1">
      <alignment horizontal="left" vertical="top" wrapText="1"/>
    </xf>
    <xf numFmtId="0" fontId="12" fillId="0" borderId="10" xfId="0" applyFont="1" applyBorder="1" applyAlignment="1">
      <alignment horizontal="justify" vertical="center" wrapText="1"/>
    </xf>
    <xf numFmtId="4" fontId="8" fillId="0" borderId="1" xfId="4" applyNumberFormat="1" applyFont="1" applyBorder="1" applyAlignment="1">
      <alignment wrapText="1"/>
    </xf>
    <xf numFmtId="0" fontId="17" fillId="0" borderId="0" xfId="1" applyFont="1"/>
    <xf numFmtId="4" fontId="13" fillId="2" borderId="10" xfId="0" applyNumberFormat="1" applyFont="1" applyFill="1" applyBorder="1" applyAlignment="1">
      <alignment vertical="center"/>
    </xf>
    <xf numFmtId="4" fontId="8" fillId="2" borderId="10" xfId="1" applyNumberFormat="1" applyFont="1" applyFill="1" applyBorder="1" applyAlignment="1">
      <alignment horizontal="right" vertical="center" wrapText="1"/>
    </xf>
    <xf numFmtId="4" fontId="12" fillId="0" borderId="10" xfId="0" applyNumberFormat="1" applyFont="1" applyBorder="1" applyAlignment="1">
      <alignment horizontal="center" vertical="center"/>
    </xf>
    <xf numFmtId="0" fontId="18" fillId="0" borderId="0" xfId="1" applyFont="1"/>
    <xf numFmtId="49" fontId="8" fillId="0" borderId="3" xfId="4" applyNumberFormat="1" applyFont="1" applyBorder="1" applyAlignment="1">
      <alignment horizontal="center" vertical="center" wrapText="1"/>
    </xf>
    <xf numFmtId="49" fontId="9" fillId="0" borderId="3" xfId="4" applyNumberFormat="1" applyFont="1" applyBorder="1" applyAlignment="1">
      <alignment horizontal="center" vertical="center" wrapText="1"/>
    </xf>
    <xf numFmtId="4" fontId="12" fillId="2" borderId="10" xfId="0" applyNumberFormat="1" applyFont="1" applyFill="1" applyBorder="1" applyAlignment="1">
      <alignment horizontal="right" vertical="center"/>
    </xf>
    <xf numFmtId="49" fontId="16" fillId="2" borderId="10" xfId="4" applyNumberFormat="1" applyFont="1" applyFill="1" applyBorder="1" applyAlignment="1">
      <alignment horizontal="left" vertical="center" wrapText="1"/>
    </xf>
    <xf numFmtId="4" fontId="16" fillId="2" borderId="10" xfId="4" applyNumberFormat="1" applyFont="1" applyFill="1" applyBorder="1" applyAlignment="1">
      <alignment horizontal="right" vertical="center"/>
    </xf>
    <xf numFmtId="4" fontId="13" fillId="2" borderId="10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justify" vertical="center" wrapText="1"/>
    </xf>
    <xf numFmtId="4" fontId="9" fillId="2" borderId="11" xfId="3" applyNumberFormat="1" applyFont="1" applyFill="1" applyBorder="1" applyAlignment="1">
      <alignment vertical="center" wrapText="1"/>
    </xf>
    <xf numFmtId="4" fontId="7" fillId="0" borderId="0" xfId="1" applyNumberFormat="1" applyFont="1"/>
    <xf numFmtId="0" fontId="13" fillId="0" borderId="12" xfId="0" applyFont="1" applyBorder="1" applyAlignment="1">
      <alignment horizontal="justify" vertical="center" wrapText="1"/>
    </xf>
    <xf numFmtId="4" fontId="9" fillId="2" borderId="12" xfId="3" applyNumberFormat="1" applyFont="1" applyFill="1" applyBorder="1" applyAlignment="1">
      <alignment vertical="center" wrapText="1"/>
    </xf>
    <xf numFmtId="4" fontId="9" fillId="2" borderId="12" xfId="1" applyNumberFormat="1" applyFont="1" applyFill="1" applyBorder="1" applyAlignment="1">
      <alignment horizontal="right" vertical="center" wrapText="1"/>
    </xf>
    <xf numFmtId="4" fontId="12" fillId="0" borderId="12" xfId="0" applyNumberFormat="1" applyFont="1" applyBorder="1" applyAlignment="1">
      <alignment horizontal="center" vertical="center"/>
    </xf>
    <xf numFmtId="4" fontId="13" fillId="2" borderId="12" xfId="0" applyNumberFormat="1" applyFont="1" applyFill="1" applyBorder="1" applyAlignment="1">
      <alignment vertical="center"/>
    </xf>
    <xf numFmtId="4" fontId="13" fillId="2" borderId="12" xfId="0" applyNumberFormat="1" applyFont="1" applyFill="1" applyBorder="1" applyAlignment="1">
      <alignment horizontal="right" vertical="center"/>
    </xf>
    <xf numFmtId="4" fontId="20" fillId="0" borderId="10" xfId="0" applyNumberFormat="1" applyFont="1" applyBorder="1" applyAlignment="1">
      <alignment horizontal="center" vertical="center" wrapText="1"/>
    </xf>
    <xf numFmtId="0" fontId="3" fillId="0" borderId="0" xfId="5"/>
    <xf numFmtId="0" fontId="3" fillId="0" borderId="0" xfId="5" applyAlignment="1">
      <alignment horizontal="right"/>
    </xf>
    <xf numFmtId="0" fontId="24" fillId="0" borderId="0" xfId="5" applyFont="1" applyAlignment="1">
      <alignment horizontal="right" vertical="top"/>
    </xf>
    <xf numFmtId="0" fontId="25" fillId="0" borderId="0" xfId="5" applyFont="1" applyAlignment="1">
      <alignment horizontal="center" vertical="center"/>
    </xf>
    <xf numFmtId="0" fontId="7" fillId="0" borderId="0" xfId="5" applyFont="1" applyAlignment="1">
      <alignment horizontal="right"/>
    </xf>
    <xf numFmtId="0" fontId="3" fillId="0" borderId="0" xfId="5" applyAlignment="1">
      <alignment vertical="top"/>
    </xf>
    <xf numFmtId="0" fontId="26" fillId="0" borderId="0" xfId="5" applyFont="1" applyAlignment="1">
      <alignment vertical="top"/>
    </xf>
    <xf numFmtId="49" fontId="22" fillId="0" borderId="12" xfId="5" applyNumberFormat="1" applyFont="1" applyBorder="1" applyAlignment="1">
      <alignment horizontal="right" vertical="top" wrapText="1"/>
    </xf>
    <xf numFmtId="0" fontId="22" fillId="0" borderId="12" xfId="5" applyFont="1" applyBorder="1" applyAlignment="1">
      <alignment horizontal="left" vertical="top" wrapText="1"/>
    </xf>
    <xf numFmtId="0" fontId="22" fillId="0" borderId="12" xfId="5" applyFont="1" applyBorder="1" applyAlignment="1">
      <alignment horizontal="right" vertical="top" wrapText="1"/>
    </xf>
    <xf numFmtId="0" fontId="3" fillId="0" borderId="12" xfId="5" applyBorder="1" applyAlignment="1">
      <alignment horizontal="left" vertical="top" wrapText="1"/>
    </xf>
    <xf numFmtId="4" fontId="3" fillId="0" borderId="12" xfId="5" applyNumberFormat="1" applyBorder="1" applyAlignment="1">
      <alignment horizontal="right" vertical="top" wrapText="1"/>
    </xf>
    <xf numFmtId="4" fontId="22" fillId="0" borderId="12" xfId="5" applyNumberFormat="1" applyFont="1" applyBorder="1" applyAlignment="1">
      <alignment horizontal="right" vertical="top" wrapText="1"/>
    </xf>
    <xf numFmtId="49" fontId="22" fillId="0" borderId="16" xfId="5" applyNumberFormat="1" applyFont="1" applyBorder="1" applyAlignment="1">
      <alignment horizontal="right" vertical="top" wrapText="1"/>
    </xf>
    <xf numFmtId="0" fontId="22" fillId="0" borderId="16" xfId="5" applyFont="1" applyBorder="1" applyAlignment="1">
      <alignment horizontal="left" vertical="top" wrapText="1"/>
    </xf>
    <xf numFmtId="0" fontId="22" fillId="0" borderId="16" xfId="5" applyFont="1" applyBorder="1" applyAlignment="1">
      <alignment horizontal="right" vertical="top" wrapText="1"/>
    </xf>
    <xf numFmtId="49" fontId="22" fillId="0" borderId="17" xfId="5" applyNumberFormat="1" applyFont="1" applyBorder="1" applyAlignment="1">
      <alignment horizontal="right" vertical="top" wrapText="1"/>
    </xf>
    <xf numFmtId="0" fontId="3" fillId="0" borderId="17" xfId="5" applyBorder="1" applyAlignment="1">
      <alignment horizontal="left" vertical="top" wrapText="1"/>
    </xf>
    <xf numFmtId="0" fontId="3" fillId="0" borderId="17" xfId="5" applyBorder="1" applyAlignment="1">
      <alignment horizontal="right" vertical="top" wrapText="1"/>
    </xf>
    <xf numFmtId="0" fontId="22" fillId="0" borderId="17" xfId="5" applyFont="1" applyBorder="1" applyAlignment="1">
      <alignment horizontal="left" vertical="top" wrapText="1"/>
    </xf>
    <xf numFmtId="0" fontId="22" fillId="0" borderId="17" xfId="5" applyFont="1" applyBorder="1" applyAlignment="1">
      <alignment horizontal="right" vertical="top" wrapText="1"/>
    </xf>
    <xf numFmtId="9" fontId="3" fillId="0" borderId="3" xfId="5" applyNumberFormat="1" applyBorder="1" applyAlignment="1">
      <alignment horizontal="left" vertical="top" wrapText="1"/>
    </xf>
    <xf numFmtId="0" fontId="3" fillId="0" borderId="3" xfId="5" applyBorder="1" applyAlignment="1">
      <alignment horizontal="right" vertical="top" wrapText="1"/>
    </xf>
    <xf numFmtId="0" fontId="3" fillId="0" borderId="15" xfId="5" applyBorder="1" applyAlignment="1">
      <alignment horizontal="left" vertical="top" wrapText="1"/>
    </xf>
    <xf numFmtId="4" fontId="3" fillId="0" borderId="15" xfId="5" applyNumberFormat="1" applyBorder="1" applyAlignment="1">
      <alignment horizontal="right" vertical="top" wrapText="1"/>
    </xf>
    <xf numFmtId="0" fontId="22" fillId="0" borderId="3" xfId="5" applyFont="1" applyBorder="1" applyAlignment="1">
      <alignment horizontal="left" vertical="top" wrapText="1"/>
    </xf>
    <xf numFmtId="4" fontId="22" fillId="0" borderId="3" xfId="5" applyNumberFormat="1" applyFont="1" applyBorder="1" applyAlignment="1">
      <alignment horizontal="right" vertical="top" wrapText="1"/>
    </xf>
    <xf numFmtId="49" fontId="22" fillId="0" borderId="14" xfId="5" applyNumberFormat="1" applyFont="1" applyBorder="1" applyAlignment="1">
      <alignment horizontal="right" vertical="top" wrapText="1"/>
    </xf>
    <xf numFmtId="0" fontId="22" fillId="0" borderId="14" xfId="5" applyFont="1" applyBorder="1" applyAlignment="1">
      <alignment horizontal="left" vertical="top" wrapText="1"/>
    </xf>
    <xf numFmtId="0" fontId="3" fillId="0" borderId="14" xfId="5" applyBorder="1" applyAlignment="1">
      <alignment horizontal="left" vertical="top" wrapText="1"/>
    </xf>
    <xf numFmtId="4" fontId="3" fillId="0" borderId="14" xfId="5" applyNumberFormat="1" applyBorder="1" applyAlignment="1">
      <alignment horizontal="right" vertical="top" wrapText="1"/>
    </xf>
    <xf numFmtId="9" fontId="3" fillId="0" borderId="17" xfId="5" applyNumberFormat="1" applyBorder="1" applyAlignment="1">
      <alignment horizontal="left" vertical="top" wrapText="1"/>
    </xf>
    <xf numFmtId="49" fontId="22" fillId="0" borderId="15" xfId="5" applyNumberFormat="1" applyFont="1" applyBorder="1" applyAlignment="1">
      <alignment horizontal="right" vertical="top" wrapText="1"/>
    </xf>
    <xf numFmtId="0" fontId="22" fillId="0" borderId="15" xfId="5" applyFont="1" applyBorder="1" applyAlignment="1">
      <alignment horizontal="left" vertical="top" wrapText="1"/>
    </xf>
    <xf numFmtId="0" fontId="3" fillId="0" borderId="0" xfId="5" applyAlignment="1">
      <alignment horizontal="center" vertical="center"/>
    </xf>
    <xf numFmtId="0" fontId="3" fillId="0" borderId="0" xfId="5" applyAlignment="1">
      <alignment horizontal="left" vertical="top"/>
    </xf>
    <xf numFmtId="0" fontId="3" fillId="0" borderId="0" xfId="5" applyAlignment="1">
      <alignment vertical="top" wrapText="1"/>
    </xf>
    <xf numFmtId="0" fontId="3" fillId="0" borderId="0" xfId="5" applyAlignment="1">
      <alignment horizontal="left" vertical="top" wrapText="1"/>
    </xf>
    <xf numFmtId="49" fontId="22" fillId="0" borderId="3" xfId="5" applyNumberFormat="1" applyFont="1" applyBorder="1" applyAlignment="1">
      <alignment horizontal="right" vertical="top" wrapText="1"/>
    </xf>
    <xf numFmtId="0" fontId="3" fillId="0" borderId="3" xfId="5" applyBorder="1" applyAlignment="1">
      <alignment horizontal="left" vertical="top" wrapText="1"/>
    </xf>
    <xf numFmtId="0" fontId="3" fillId="0" borderId="16" xfId="5" applyBorder="1" applyAlignment="1">
      <alignment horizontal="left" vertical="top" wrapText="1"/>
    </xf>
    <xf numFmtId="0" fontId="3" fillId="0" borderId="16" xfId="5" applyBorder="1" applyAlignment="1">
      <alignment horizontal="right" vertical="top" wrapText="1"/>
    </xf>
    <xf numFmtId="0" fontId="21" fillId="0" borderId="0" xfId="5" applyFont="1" applyAlignment="1">
      <alignment horizontal="right" vertical="top"/>
    </xf>
    <xf numFmtId="0" fontId="3" fillId="0" borderId="0" xfId="5" applyAlignment="1">
      <alignment horizontal="right" vertical="top"/>
    </xf>
    <xf numFmtId="0" fontId="24" fillId="0" borderId="0" xfId="5" applyFont="1" applyAlignment="1">
      <alignment horizontal="right" vertical="center"/>
    </xf>
    <xf numFmtId="0" fontId="3" fillId="0" borderId="0" xfId="5" applyAlignment="1">
      <alignment horizontal="center" vertical="center" wrapText="1"/>
    </xf>
    <xf numFmtId="0" fontId="3" fillId="0" borderId="12" xfId="5" applyBorder="1" applyAlignment="1">
      <alignment horizontal="right" vertical="top" wrapText="1"/>
    </xf>
    <xf numFmtId="0" fontId="3" fillId="0" borderId="12" xfId="5" applyBorder="1" applyAlignment="1">
      <alignment horizontal="left" vertical="top"/>
    </xf>
    <xf numFmtId="4" fontId="3" fillId="0" borderId="12" xfId="5" applyNumberFormat="1" applyBorder="1" applyAlignment="1">
      <alignment horizontal="right" vertical="top"/>
    </xf>
    <xf numFmtId="0" fontId="3" fillId="0" borderId="0" xfId="5" applyAlignment="1">
      <alignment wrapText="1"/>
    </xf>
    <xf numFmtId="0" fontId="3" fillId="0" borderId="0" xfId="5" applyAlignment="1">
      <alignment horizontal="left" wrapText="1"/>
    </xf>
    <xf numFmtId="3" fontId="3" fillId="0" borderId="12" xfId="5" applyNumberFormat="1" applyBorder="1" applyAlignment="1">
      <alignment horizontal="left" vertical="top" wrapText="1"/>
    </xf>
    <xf numFmtId="3" fontId="3" fillId="0" borderId="0" xfId="5" applyNumberFormat="1" applyAlignment="1">
      <alignment horizontal="right" vertical="top" wrapText="1"/>
    </xf>
    <xf numFmtId="0" fontId="22" fillId="0" borderId="0" xfId="5" applyFont="1" applyAlignment="1">
      <alignment horizontal="left" vertical="top"/>
    </xf>
    <xf numFmtId="0" fontId="32" fillId="0" borderId="0" xfId="0" applyFont="1"/>
    <xf numFmtId="0" fontId="33" fillId="0" borderId="0" xfId="5" applyFont="1"/>
    <xf numFmtId="0" fontId="35" fillId="0" borderId="0" xfId="0" applyFont="1"/>
    <xf numFmtId="0" fontId="34" fillId="0" borderId="12" xfId="5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3" fillId="0" borderId="12" xfId="5" applyFont="1" applyBorder="1" applyAlignment="1">
      <alignment horizontal="center" vertical="center" wrapText="1"/>
    </xf>
    <xf numFmtId="4" fontId="33" fillId="0" borderId="20" xfId="5" applyNumberFormat="1" applyFont="1" applyBorder="1" applyAlignment="1">
      <alignment horizontal="center" vertical="center" wrapText="1"/>
    </xf>
    <xf numFmtId="0" fontId="34" fillId="0" borderId="12" xfId="5" applyFont="1" applyBorder="1" applyAlignment="1">
      <alignment horizontal="left" vertical="center" wrapText="1"/>
    </xf>
    <xf numFmtId="3" fontId="34" fillId="0" borderId="12" xfId="5" applyNumberFormat="1" applyFont="1" applyBorder="1" applyAlignment="1">
      <alignment horizontal="center" vertical="center" wrapText="1"/>
    </xf>
    <xf numFmtId="0" fontId="36" fillId="0" borderId="0" xfId="0" applyFont="1" applyAlignment="1">
      <alignment vertical="top"/>
    </xf>
    <xf numFmtId="0" fontId="37" fillId="0" borderId="0" xfId="0" applyFont="1" applyAlignment="1">
      <alignment wrapText="1"/>
    </xf>
    <xf numFmtId="0" fontId="33" fillId="0" borderId="0" xfId="5" applyFont="1" applyAlignment="1">
      <alignment horizontal="left" vertical="top"/>
    </xf>
    <xf numFmtId="0" fontId="35" fillId="0" borderId="0" xfId="0" applyFont="1" applyAlignment="1">
      <alignment horizontal="center" vertical="top" wrapText="1"/>
    </xf>
    <xf numFmtId="0" fontId="35" fillId="0" borderId="0" xfId="0" applyFont="1" applyAlignment="1">
      <alignment horizontal="center" wrapText="1"/>
    </xf>
    <xf numFmtId="0" fontId="37" fillId="0" borderId="0" xfId="0" applyFont="1" applyAlignment="1">
      <alignment horizontal="center" wrapText="1"/>
    </xf>
    <xf numFmtId="0" fontId="3" fillId="0" borderId="36" xfId="5" applyBorder="1" applyAlignment="1">
      <alignment horizontal="center" vertical="top" wrapText="1"/>
    </xf>
    <xf numFmtId="49" fontId="3" fillId="0" borderId="36" xfId="5" applyNumberFormat="1" applyBorder="1" applyAlignment="1">
      <alignment horizontal="center" wrapText="1"/>
    </xf>
    <xf numFmtId="0" fontId="3" fillId="0" borderId="36" xfId="5" applyBorder="1" applyAlignment="1">
      <alignment horizontal="center" wrapText="1"/>
    </xf>
    <xf numFmtId="49" fontId="22" fillId="0" borderId="38" xfId="5" applyNumberFormat="1" applyFont="1" applyBorder="1" applyAlignment="1">
      <alignment horizontal="right" vertical="top" wrapText="1"/>
    </xf>
    <xf numFmtId="0" fontId="22" fillId="0" borderId="38" xfId="5" applyFont="1" applyBorder="1" applyAlignment="1">
      <alignment horizontal="left" vertical="top" wrapText="1"/>
    </xf>
    <xf numFmtId="0" fontId="22" fillId="0" borderId="38" xfId="5" applyFont="1" applyBorder="1" applyAlignment="1">
      <alignment horizontal="right" vertical="top" wrapText="1"/>
    </xf>
    <xf numFmtId="49" fontId="22" fillId="0" borderId="37" xfId="5" applyNumberFormat="1" applyFont="1" applyBorder="1" applyAlignment="1">
      <alignment horizontal="right" vertical="top" wrapText="1"/>
    </xf>
    <xf numFmtId="0" fontId="22" fillId="0" borderId="37" xfId="5" applyFont="1" applyBorder="1" applyAlignment="1">
      <alignment horizontal="left" vertical="top" wrapText="1"/>
    </xf>
    <xf numFmtId="0" fontId="3" fillId="0" borderId="37" xfId="5" applyBorder="1" applyAlignment="1">
      <alignment horizontal="left" vertical="top" wrapText="1"/>
    </xf>
    <xf numFmtId="4" fontId="3" fillId="0" borderId="37" xfId="5" applyNumberFormat="1" applyBorder="1" applyAlignment="1">
      <alignment horizontal="right" vertical="top" wrapText="1"/>
    </xf>
    <xf numFmtId="0" fontId="27" fillId="0" borderId="36" xfId="5" applyFont="1" applyBorder="1" applyAlignment="1">
      <alignment horizontal="center" vertical="top" wrapText="1"/>
    </xf>
    <xf numFmtId="0" fontId="28" fillId="0" borderId="36" xfId="5" applyFont="1" applyBorder="1" applyAlignment="1">
      <alignment horizontal="center" vertical="top" wrapText="1"/>
    </xf>
    <xf numFmtId="0" fontId="3" fillId="0" borderId="36" xfId="5" applyBorder="1" applyAlignment="1">
      <alignment horizontal="center"/>
    </xf>
    <xf numFmtId="0" fontId="3" fillId="0" borderId="45" xfId="5" applyBorder="1" applyAlignment="1">
      <alignment horizontal="left" vertical="top" wrapText="1"/>
    </xf>
    <xf numFmtId="0" fontId="3" fillId="0" borderId="45" xfId="5" applyBorder="1" applyAlignment="1">
      <alignment horizontal="left" vertical="top"/>
    </xf>
    <xf numFmtId="0" fontId="3" fillId="0" borderId="46" xfId="5" applyBorder="1" applyAlignment="1">
      <alignment horizontal="left" vertical="top" wrapText="1"/>
    </xf>
    <xf numFmtId="0" fontId="3" fillId="0" borderId="46" xfId="5" applyBorder="1" applyAlignment="1">
      <alignment horizontal="left" vertical="top"/>
    </xf>
    <xf numFmtId="0" fontId="3" fillId="0" borderId="46" xfId="5" applyBorder="1" applyAlignment="1">
      <alignment horizontal="right" vertical="top" wrapText="1"/>
    </xf>
    <xf numFmtId="4" fontId="3" fillId="0" borderId="46" xfId="5" applyNumberFormat="1" applyBorder="1" applyAlignment="1">
      <alignment horizontal="right" vertical="top"/>
    </xf>
    <xf numFmtId="4" fontId="18" fillId="0" borderId="0" xfId="1" applyNumberFormat="1" applyFont="1"/>
    <xf numFmtId="4" fontId="4" fillId="0" borderId="0" xfId="1" applyNumberFormat="1" applyFont="1"/>
    <xf numFmtId="0" fontId="3" fillId="0" borderId="0" xfId="5" applyAlignment="1">
      <alignment horizontal="left" vertical="top" wrapText="1"/>
    </xf>
    <xf numFmtId="4" fontId="3" fillId="0" borderId="15" xfId="5" applyNumberFormat="1" applyBorder="1" applyAlignment="1">
      <alignment horizontal="right" vertical="top" wrapText="1"/>
    </xf>
    <xf numFmtId="49" fontId="22" fillId="0" borderId="15" xfId="5" applyNumberFormat="1" applyFont="1" applyBorder="1" applyAlignment="1">
      <alignment horizontal="right" vertical="top" wrapText="1"/>
    </xf>
    <xf numFmtId="0" fontId="22" fillId="0" borderId="15" xfId="5" applyFont="1" applyBorder="1" applyAlignment="1">
      <alignment horizontal="left" vertical="top" wrapText="1"/>
    </xf>
    <xf numFmtId="0" fontId="3" fillId="0" borderId="15" xfId="5" applyBorder="1" applyAlignment="1">
      <alignment horizontal="left" vertical="top" wrapText="1"/>
    </xf>
    <xf numFmtId="0" fontId="3" fillId="0" borderId="0" xfId="5" applyAlignment="1">
      <alignment vertical="top" wrapText="1"/>
    </xf>
    <xf numFmtId="0" fontId="25" fillId="0" borderId="0" xfId="5" applyFont="1" applyAlignment="1">
      <alignment horizontal="center" vertical="center"/>
    </xf>
    <xf numFmtId="0" fontId="3" fillId="0" borderId="0" xfId="5" applyAlignment="1">
      <alignment horizontal="center" vertical="center"/>
    </xf>
    <xf numFmtId="0" fontId="3" fillId="0" borderId="0" xfId="5" applyAlignment="1">
      <alignment horizontal="left" vertical="top"/>
    </xf>
    <xf numFmtId="0" fontId="3" fillId="0" borderId="0" xfId="5" applyAlignment="1">
      <alignment wrapText="1"/>
    </xf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wrapText="1"/>
    </xf>
    <xf numFmtId="0" fontId="3" fillId="0" borderId="50" xfId="5" applyBorder="1" applyAlignment="1">
      <alignment horizontal="center" vertical="top" wrapText="1"/>
    </xf>
    <xf numFmtId="49" fontId="3" fillId="0" borderId="50" xfId="5" applyNumberFormat="1" applyBorder="1" applyAlignment="1">
      <alignment horizontal="center" wrapText="1"/>
    </xf>
    <xf numFmtId="0" fontId="3" fillId="0" borderId="50" xfId="5" applyBorder="1" applyAlignment="1">
      <alignment horizontal="center" wrapText="1"/>
    </xf>
    <xf numFmtId="49" fontId="22" fillId="0" borderId="51" xfId="5" applyNumberFormat="1" applyFont="1" applyBorder="1" applyAlignment="1">
      <alignment horizontal="right" vertical="top" wrapText="1"/>
    </xf>
    <xf numFmtId="0" fontId="22" fillId="0" borderId="51" xfId="5" applyFont="1" applyBorder="1" applyAlignment="1">
      <alignment horizontal="left" vertical="top" wrapText="1"/>
    </xf>
    <xf numFmtId="0" fontId="3" fillId="0" borderId="51" xfId="5" applyBorder="1" applyAlignment="1">
      <alignment horizontal="left" vertical="top" wrapText="1"/>
    </xf>
    <xf numFmtId="4" fontId="3" fillId="0" borderId="51" xfId="5" applyNumberFormat="1" applyBorder="1" applyAlignment="1">
      <alignment horizontal="right" vertical="top" wrapText="1"/>
    </xf>
    <xf numFmtId="49" fontId="22" fillId="0" borderId="52" xfId="5" applyNumberFormat="1" applyFont="1" applyBorder="1" applyAlignment="1">
      <alignment horizontal="right" vertical="top" wrapText="1"/>
    </xf>
    <xf numFmtId="0" fontId="22" fillId="0" borderId="52" xfId="5" applyFont="1" applyBorder="1" applyAlignment="1">
      <alignment horizontal="left" vertical="top" wrapText="1"/>
    </xf>
    <xf numFmtId="0" fontId="22" fillId="0" borderId="52" xfId="5" applyFont="1" applyBorder="1" applyAlignment="1">
      <alignment horizontal="right" vertical="top" wrapText="1"/>
    </xf>
    <xf numFmtId="0" fontId="27" fillId="0" borderId="50" xfId="5" applyFont="1" applyBorder="1" applyAlignment="1">
      <alignment horizontal="center" vertical="top" wrapText="1"/>
    </xf>
    <xf numFmtId="0" fontId="28" fillId="0" borderId="50" xfId="5" applyFont="1" applyBorder="1" applyAlignment="1">
      <alignment horizontal="center" vertical="top" wrapText="1"/>
    </xf>
    <xf numFmtId="0" fontId="3" fillId="0" borderId="50" xfId="5" applyBorder="1" applyAlignment="1">
      <alignment horizontal="center"/>
    </xf>
    <xf numFmtId="0" fontId="3" fillId="0" borderId="65" xfId="5" applyBorder="1" applyAlignment="1">
      <alignment horizontal="left" vertical="top" wrapText="1"/>
    </xf>
    <xf numFmtId="0" fontId="3" fillId="0" borderId="65" xfId="5" applyBorder="1" applyAlignment="1">
      <alignment horizontal="left" vertical="top"/>
    </xf>
    <xf numFmtId="0" fontId="33" fillId="0" borderId="61" xfId="5" applyFont="1" applyBorder="1" applyAlignment="1">
      <alignment vertical="center"/>
    </xf>
    <xf numFmtId="0" fontId="13" fillId="0" borderId="0" xfId="4" applyFont="1" applyAlignment="1">
      <alignment horizontal="left" vertical="top" wrapText="1"/>
    </xf>
    <xf numFmtId="0" fontId="14" fillId="0" borderId="0" xfId="4" applyFont="1" applyAlignment="1">
      <alignment horizontal="left" vertical="top" wrapText="1"/>
    </xf>
    <xf numFmtId="0" fontId="10" fillId="0" borderId="0" xfId="2" applyFont="1" applyAlignment="1">
      <alignment horizontal="center" wrapText="1"/>
    </xf>
    <xf numFmtId="0" fontId="11" fillId="0" borderId="0" xfId="1" applyFont="1" applyAlignment="1">
      <alignment horizontal="center" wrapText="1"/>
    </xf>
    <xf numFmtId="0" fontId="8" fillId="2" borderId="0" xfId="4" applyFont="1" applyFill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9" fillId="0" borderId="1" xfId="4" applyFont="1" applyBorder="1" applyAlignment="1">
      <alignment horizontal="left" wrapText="1"/>
    </xf>
    <xf numFmtId="0" fontId="8" fillId="0" borderId="0" xfId="2" applyFont="1" applyAlignment="1">
      <alignment horizontal="center" vertical="top" wrapText="1"/>
    </xf>
    <xf numFmtId="0" fontId="9" fillId="0" borderId="0" xfId="1" applyFont="1" applyAlignment="1">
      <alignment horizontal="center"/>
    </xf>
    <xf numFmtId="0" fontId="9" fillId="0" borderId="0" xfId="3" applyFont="1" applyAlignment="1">
      <alignment horizontal="center" vertical="center" wrapText="1"/>
    </xf>
    <xf numFmtId="0" fontId="9" fillId="0" borderId="0" xfId="1" applyFont="1" applyAlignment="1">
      <alignment horizontal="center" wrapText="1"/>
    </xf>
    <xf numFmtId="0" fontId="3" fillId="0" borderId="0" xfId="5" applyAlignment="1">
      <alignment horizontal="left" vertical="top" wrapText="1"/>
    </xf>
    <xf numFmtId="0" fontId="21" fillId="0" borderId="0" xfId="5" applyFont="1" applyAlignment="1">
      <alignment vertical="top" wrapText="1"/>
    </xf>
    <xf numFmtId="0" fontId="22" fillId="0" borderId="0" xfId="5" applyFont="1" applyAlignment="1">
      <alignment vertical="top" wrapText="1"/>
    </xf>
    <xf numFmtId="0" fontId="23" fillId="0" borderId="0" xfId="5" applyFont="1" applyAlignment="1">
      <alignment horizontal="right" vertical="top" wrapText="1"/>
    </xf>
    <xf numFmtId="0" fontId="22" fillId="0" borderId="0" xfId="5" applyFont="1" applyAlignment="1">
      <alignment horizontal="center" vertical="top" wrapText="1"/>
    </xf>
    <xf numFmtId="0" fontId="25" fillId="0" borderId="0" xfId="5" applyFont="1" applyAlignment="1">
      <alignment horizontal="center" vertical="center"/>
    </xf>
    <xf numFmtId="0" fontId="25" fillId="0" borderId="0" xfId="5" applyFont="1" applyAlignment="1">
      <alignment horizontal="left" vertical="top" wrapText="1"/>
    </xf>
    <xf numFmtId="0" fontId="26" fillId="0" borderId="0" xfId="5" applyFont="1" applyAlignment="1">
      <alignment horizontal="left" vertical="top" wrapText="1"/>
    </xf>
    <xf numFmtId="0" fontId="3" fillId="0" borderId="0" xfId="5" applyAlignment="1">
      <alignment vertical="top" wrapText="1"/>
    </xf>
    <xf numFmtId="0" fontId="3" fillId="0" borderId="13" xfId="5" applyBorder="1" applyAlignment="1">
      <alignment horizontal="left" vertical="top" wrapText="1"/>
    </xf>
    <xf numFmtId="49" fontId="22" fillId="0" borderId="37" xfId="5" applyNumberFormat="1" applyFont="1" applyBorder="1" applyAlignment="1">
      <alignment horizontal="right" vertical="top" wrapText="1"/>
    </xf>
    <xf numFmtId="0" fontId="3" fillId="0" borderId="15" xfId="5" applyBorder="1" applyAlignment="1">
      <alignment horizontal="right" vertical="top" wrapText="1"/>
    </xf>
    <xf numFmtId="0" fontId="22" fillId="0" borderId="37" xfId="5" applyFont="1" applyBorder="1" applyAlignment="1">
      <alignment horizontal="left" vertical="top" wrapText="1"/>
    </xf>
    <xf numFmtId="0" fontId="3" fillId="0" borderId="15" xfId="5" applyBorder="1" applyAlignment="1">
      <alignment horizontal="left" vertical="top" wrapText="1"/>
    </xf>
    <xf numFmtId="0" fontId="3" fillId="0" borderId="37" xfId="5" applyBorder="1" applyAlignment="1">
      <alignment horizontal="left" vertical="top" wrapText="1"/>
    </xf>
    <xf numFmtId="4" fontId="3" fillId="0" borderId="37" xfId="5" applyNumberFormat="1" applyBorder="1" applyAlignment="1">
      <alignment horizontal="right" vertical="top" wrapText="1"/>
    </xf>
    <xf numFmtId="4" fontId="3" fillId="0" borderId="15" xfId="5" applyNumberFormat="1" applyBorder="1" applyAlignment="1">
      <alignment horizontal="right" vertical="top" wrapText="1"/>
    </xf>
    <xf numFmtId="49" fontId="22" fillId="0" borderId="15" xfId="5" applyNumberFormat="1" applyFont="1" applyBorder="1" applyAlignment="1">
      <alignment horizontal="right" vertical="top" wrapText="1"/>
    </xf>
    <xf numFmtId="0" fontId="22" fillId="0" borderId="15" xfId="5" applyFont="1" applyBorder="1" applyAlignment="1">
      <alignment horizontal="left" vertical="top" wrapText="1"/>
    </xf>
    <xf numFmtId="0" fontId="21" fillId="0" borderId="0" xfId="5" applyFont="1" applyAlignment="1">
      <alignment horizontal="left" vertical="top" wrapText="1"/>
    </xf>
    <xf numFmtId="0" fontId="3" fillId="0" borderId="0" xfId="5" applyAlignment="1">
      <alignment horizontal="center" vertical="center"/>
    </xf>
    <xf numFmtId="0" fontId="3" fillId="0" borderId="0" xfId="5" applyAlignment="1">
      <alignment horizontal="left" vertical="top"/>
    </xf>
    <xf numFmtId="0" fontId="22" fillId="0" borderId="22" xfId="5" applyFont="1" applyBorder="1" applyAlignment="1">
      <alignment horizontal="left" vertical="top" wrapText="1"/>
    </xf>
    <xf numFmtId="0" fontId="22" fillId="0" borderId="23" xfId="5" applyFont="1" applyBorder="1" applyAlignment="1">
      <alignment horizontal="left" vertical="top" wrapText="1"/>
    </xf>
    <xf numFmtId="0" fontId="3" fillId="0" borderId="22" xfId="5" applyBorder="1" applyAlignment="1">
      <alignment horizontal="left" vertical="top" wrapText="1"/>
    </xf>
    <xf numFmtId="0" fontId="3" fillId="0" borderId="24" xfId="5" applyBorder="1" applyAlignment="1">
      <alignment horizontal="left" vertical="top" wrapText="1"/>
    </xf>
    <xf numFmtId="0" fontId="3" fillId="0" borderId="23" xfId="5" applyBorder="1" applyAlignment="1">
      <alignment horizontal="left" vertical="top" wrapText="1"/>
    </xf>
    <xf numFmtId="0" fontId="22" fillId="0" borderId="25" xfId="5" applyFont="1" applyBorder="1" applyAlignment="1">
      <alignment horizontal="left" vertical="top" wrapText="1"/>
    </xf>
    <xf numFmtId="0" fontId="22" fillId="0" borderId="26" xfId="5" applyFont="1" applyBorder="1" applyAlignment="1">
      <alignment horizontal="left" vertical="top" wrapText="1"/>
    </xf>
    <xf numFmtId="0" fontId="22" fillId="0" borderId="27" xfId="5" applyFont="1" applyBorder="1" applyAlignment="1">
      <alignment horizontal="left" vertical="top" wrapText="1"/>
    </xf>
    <xf numFmtId="0" fontId="3" fillId="0" borderId="28" xfId="5" applyBorder="1" applyAlignment="1">
      <alignment horizontal="left" vertical="top" wrapText="1"/>
    </xf>
    <xf numFmtId="0" fontId="3" fillId="0" borderId="29" xfId="5" applyBorder="1" applyAlignment="1">
      <alignment horizontal="left" vertical="top" wrapText="1"/>
    </xf>
    <xf numFmtId="0" fontId="3" fillId="0" borderId="30" xfId="5" applyBorder="1" applyAlignment="1">
      <alignment horizontal="left" vertical="top" wrapText="1"/>
    </xf>
    <xf numFmtId="0" fontId="27" fillId="0" borderId="39" xfId="5" applyFont="1" applyBorder="1" applyAlignment="1">
      <alignment horizontal="center" vertical="top" wrapText="1"/>
    </xf>
    <xf numFmtId="0" fontId="27" fillId="0" borderId="40" xfId="5" applyFont="1" applyBorder="1" applyAlignment="1">
      <alignment horizontal="center" vertical="top" wrapText="1"/>
    </xf>
    <xf numFmtId="0" fontId="27" fillId="0" borderId="41" xfId="5" applyFont="1" applyBorder="1" applyAlignment="1">
      <alignment horizontal="center" vertical="top" wrapText="1"/>
    </xf>
    <xf numFmtId="0" fontId="3" fillId="0" borderId="42" xfId="5" applyBorder="1" applyAlignment="1">
      <alignment horizontal="center" wrapText="1"/>
    </xf>
    <xf numFmtId="0" fontId="3" fillId="0" borderId="43" xfId="5" applyBorder="1" applyAlignment="1">
      <alignment horizontal="center" wrapText="1"/>
    </xf>
    <xf numFmtId="0" fontId="3" fillId="0" borderId="44" xfId="5" applyBorder="1" applyAlignment="1">
      <alignment horizontal="center" wrapText="1"/>
    </xf>
    <xf numFmtId="0" fontId="22" fillId="0" borderId="19" xfId="5" applyFont="1" applyBorder="1" applyAlignment="1">
      <alignment horizontal="left" vertical="top" wrapText="1"/>
    </xf>
    <xf numFmtId="0" fontId="22" fillId="0" borderId="20" xfId="5" applyFont="1" applyBorder="1" applyAlignment="1">
      <alignment horizontal="left" vertical="top" wrapText="1"/>
    </xf>
    <xf numFmtId="0" fontId="22" fillId="0" borderId="21" xfId="5" applyFont="1" applyBorder="1" applyAlignment="1">
      <alignment horizontal="left" vertical="top" wrapText="1"/>
    </xf>
    <xf numFmtId="0" fontId="3" fillId="0" borderId="31" xfId="5" applyBorder="1" applyAlignment="1">
      <alignment horizontal="left" vertical="top" wrapText="1"/>
    </xf>
    <xf numFmtId="0" fontId="3" fillId="0" borderId="32" xfId="5" applyBorder="1" applyAlignment="1">
      <alignment horizontal="left" vertical="top" wrapText="1"/>
    </xf>
    <xf numFmtId="9" fontId="3" fillId="0" borderId="31" xfId="5" applyNumberFormat="1" applyBorder="1" applyAlignment="1">
      <alignment horizontal="left" vertical="top" wrapText="1"/>
    </xf>
    <xf numFmtId="9" fontId="3" fillId="0" borderId="33" xfId="5" applyNumberFormat="1" applyBorder="1" applyAlignment="1">
      <alignment horizontal="left" vertical="top" wrapText="1"/>
    </xf>
    <xf numFmtId="9" fontId="3" fillId="0" borderId="32" xfId="5" applyNumberFormat="1" applyBorder="1" applyAlignment="1">
      <alignment horizontal="left" vertical="top" wrapText="1"/>
    </xf>
    <xf numFmtId="0" fontId="22" fillId="0" borderId="34" xfId="5" applyFont="1" applyBorder="1" applyAlignment="1">
      <alignment horizontal="left" vertical="top" wrapText="1"/>
    </xf>
    <xf numFmtId="0" fontId="22" fillId="0" borderId="35" xfId="5" applyFont="1" applyBorder="1" applyAlignment="1">
      <alignment horizontal="left" vertical="top" wrapText="1"/>
    </xf>
    <xf numFmtId="0" fontId="3" fillId="0" borderId="34" xfId="5" applyBorder="1" applyAlignment="1">
      <alignment horizontal="left" vertical="top" wrapText="1"/>
    </xf>
    <xf numFmtId="0" fontId="3" fillId="0" borderId="35" xfId="5" applyBorder="1" applyAlignment="1">
      <alignment horizontal="left" vertical="top" wrapText="1"/>
    </xf>
    <xf numFmtId="0" fontId="22" fillId="0" borderId="28" xfId="5" applyFont="1" applyBorder="1" applyAlignment="1">
      <alignment horizontal="left" vertical="top" wrapText="1"/>
    </xf>
    <xf numFmtId="0" fontId="22" fillId="0" borderId="29" xfId="5" applyFont="1" applyBorder="1" applyAlignment="1">
      <alignment horizontal="left" vertical="top" wrapText="1"/>
    </xf>
    <xf numFmtId="0" fontId="22" fillId="0" borderId="30" xfId="5" applyFont="1" applyBorder="1" applyAlignment="1">
      <alignment horizontal="left" vertical="top" wrapText="1"/>
    </xf>
    <xf numFmtId="0" fontId="22" fillId="0" borderId="31" xfId="5" applyFont="1" applyBorder="1" applyAlignment="1">
      <alignment horizontal="left" vertical="top" wrapText="1"/>
    </xf>
    <xf numFmtId="0" fontId="22" fillId="0" borderId="32" xfId="5" applyFont="1" applyBorder="1" applyAlignment="1">
      <alignment horizontal="left" vertical="top" wrapText="1"/>
    </xf>
    <xf numFmtId="0" fontId="22" fillId="0" borderId="33" xfId="5" applyFont="1" applyBorder="1" applyAlignment="1">
      <alignment horizontal="left" vertical="top" wrapText="1"/>
    </xf>
    <xf numFmtId="0" fontId="3" fillId="0" borderId="19" xfId="5" applyBorder="1" applyAlignment="1">
      <alignment horizontal="left" vertical="top" wrapText="1"/>
    </xf>
    <xf numFmtId="0" fontId="3" fillId="0" borderId="20" xfId="5" applyBorder="1" applyAlignment="1">
      <alignment horizontal="left" vertical="top" wrapText="1"/>
    </xf>
    <xf numFmtId="0" fontId="3" fillId="0" borderId="21" xfId="5" applyBorder="1" applyAlignment="1">
      <alignment horizontal="left" vertical="top" wrapText="1"/>
    </xf>
    <xf numFmtId="9" fontId="3" fillId="0" borderId="28" xfId="5" applyNumberFormat="1" applyBorder="1" applyAlignment="1">
      <alignment horizontal="left" vertical="top" wrapText="1"/>
    </xf>
    <xf numFmtId="9" fontId="3" fillId="0" borderId="30" xfId="5" applyNumberFormat="1" applyBorder="1" applyAlignment="1">
      <alignment horizontal="left" vertical="top" wrapText="1"/>
    </xf>
    <xf numFmtId="9" fontId="3" fillId="0" borderId="29" xfId="5" applyNumberFormat="1" applyBorder="1" applyAlignment="1">
      <alignment horizontal="left" vertical="top" wrapText="1"/>
    </xf>
    <xf numFmtId="49" fontId="22" fillId="0" borderId="14" xfId="5" applyNumberFormat="1" applyFont="1" applyBorder="1" applyAlignment="1">
      <alignment horizontal="right" vertical="top" wrapText="1"/>
    </xf>
    <xf numFmtId="0" fontId="3" fillId="0" borderId="14" xfId="5" applyBorder="1" applyAlignment="1">
      <alignment horizontal="left" vertical="top" wrapText="1"/>
    </xf>
    <xf numFmtId="4" fontId="3" fillId="0" borderId="14" xfId="5" applyNumberFormat="1" applyBorder="1" applyAlignment="1">
      <alignment horizontal="right" vertical="top" wrapText="1"/>
    </xf>
    <xf numFmtId="0" fontId="3" fillId="0" borderId="18" xfId="5" applyBorder="1" applyAlignment="1">
      <alignment horizontal="center" wrapText="1"/>
    </xf>
    <xf numFmtId="0" fontId="3" fillId="0" borderId="33" xfId="5" applyBorder="1" applyAlignment="1">
      <alignment horizontal="left" vertical="top" wrapText="1"/>
    </xf>
    <xf numFmtId="0" fontId="24" fillId="0" borderId="0" xfId="5" applyFont="1" applyAlignment="1">
      <alignment horizontal="right" vertical="center" wrapText="1"/>
    </xf>
    <xf numFmtId="0" fontId="22" fillId="0" borderId="0" xfId="5" applyFont="1" applyAlignment="1">
      <alignment horizontal="center" vertical="center" wrapText="1"/>
    </xf>
    <xf numFmtId="0" fontId="3" fillId="0" borderId="0" xfId="5" applyAlignment="1">
      <alignment horizontal="center" vertical="center" wrapText="1"/>
    </xf>
    <xf numFmtId="0" fontId="3" fillId="0" borderId="36" xfId="5" applyBorder="1" applyAlignment="1">
      <alignment horizontal="center" vertical="top" wrapText="1"/>
    </xf>
    <xf numFmtId="0" fontId="3" fillId="0" borderId="0" xfId="5" applyAlignment="1">
      <alignment horizontal="left" wrapText="1"/>
    </xf>
    <xf numFmtId="0" fontId="3" fillId="0" borderId="45" xfId="5" applyBorder="1" applyAlignment="1">
      <alignment horizontal="right" vertical="top" wrapText="1"/>
    </xf>
    <xf numFmtId="0" fontId="3" fillId="0" borderId="45" xfId="5" applyBorder="1" applyAlignment="1">
      <alignment horizontal="left" vertical="top" wrapText="1"/>
    </xf>
    <xf numFmtId="4" fontId="3" fillId="0" borderId="45" xfId="5" applyNumberFormat="1" applyBorder="1" applyAlignment="1">
      <alignment horizontal="right" vertical="top"/>
    </xf>
    <xf numFmtId="0" fontId="3" fillId="0" borderId="0" xfId="5" applyAlignment="1">
      <alignment wrapText="1"/>
    </xf>
    <xf numFmtId="0" fontId="3" fillId="0" borderId="25" xfId="5" applyBorder="1" applyAlignment="1">
      <alignment horizontal="left" vertical="top" wrapText="1"/>
    </xf>
    <xf numFmtId="0" fontId="3" fillId="0" borderId="26" xfId="5" applyBorder="1" applyAlignment="1">
      <alignment horizontal="left" vertical="top" wrapText="1"/>
    </xf>
    <xf numFmtId="0" fontId="3" fillId="0" borderId="27" xfId="5" applyBorder="1" applyAlignment="1">
      <alignment horizontal="left" vertical="top" wrapText="1"/>
    </xf>
    <xf numFmtId="0" fontId="3" fillId="0" borderId="46" xfId="5" applyBorder="1" applyAlignment="1">
      <alignment horizontal="right" vertical="top" wrapText="1"/>
    </xf>
    <xf numFmtId="0" fontId="3" fillId="0" borderId="46" xfId="5" applyBorder="1" applyAlignment="1">
      <alignment horizontal="left" vertical="top" wrapText="1"/>
    </xf>
    <xf numFmtId="4" fontId="3" fillId="0" borderId="46" xfId="5" applyNumberFormat="1" applyBorder="1" applyAlignment="1">
      <alignment horizontal="right" vertical="top"/>
    </xf>
    <xf numFmtId="0" fontId="3" fillId="0" borderId="47" xfId="5" applyBorder="1" applyAlignment="1">
      <alignment horizontal="left" vertical="top" wrapText="1"/>
    </xf>
    <xf numFmtId="0" fontId="3" fillId="0" borderId="48" xfId="5" applyBorder="1" applyAlignment="1">
      <alignment horizontal="left" vertical="top" wrapText="1"/>
    </xf>
    <xf numFmtId="0" fontId="3" fillId="0" borderId="49" xfId="5" applyBorder="1" applyAlignment="1">
      <alignment horizontal="left" vertical="top" wrapText="1"/>
    </xf>
    <xf numFmtId="0" fontId="22" fillId="0" borderId="0" xfId="5" applyFont="1" applyAlignment="1">
      <alignment vertical="top"/>
    </xf>
    <xf numFmtId="3" fontId="22" fillId="0" borderId="0" xfId="5" applyNumberFormat="1" applyFont="1" applyAlignment="1">
      <alignment horizontal="right" vertical="top"/>
    </xf>
    <xf numFmtId="0" fontId="22" fillId="0" borderId="0" xfId="5" applyFont="1" applyAlignment="1">
      <alignment horizontal="right" vertical="top"/>
    </xf>
    <xf numFmtId="0" fontId="3" fillId="0" borderId="0" xfId="5" applyAlignment="1">
      <alignment horizontal="right" vertical="top" wrapText="1"/>
    </xf>
    <xf numFmtId="49" fontId="22" fillId="0" borderId="51" xfId="5" applyNumberFormat="1" applyFont="1" applyBorder="1" applyAlignment="1">
      <alignment horizontal="right" vertical="top" wrapText="1"/>
    </xf>
    <xf numFmtId="0" fontId="22" fillId="0" borderId="51" xfId="5" applyFont="1" applyBorder="1" applyAlignment="1">
      <alignment horizontal="left" vertical="top" wrapText="1"/>
    </xf>
    <xf numFmtId="0" fontId="3" fillId="0" borderId="51" xfId="5" applyBorder="1" applyAlignment="1">
      <alignment horizontal="left" vertical="top" wrapText="1"/>
    </xf>
    <xf numFmtId="4" fontId="3" fillId="0" borderId="51" xfId="5" applyNumberFormat="1" applyBorder="1" applyAlignment="1">
      <alignment horizontal="right" vertical="top" wrapText="1"/>
    </xf>
    <xf numFmtId="0" fontId="27" fillId="0" borderId="53" xfId="5" applyFont="1" applyBorder="1" applyAlignment="1">
      <alignment horizontal="center" vertical="top" wrapText="1"/>
    </xf>
    <xf numFmtId="0" fontId="27" fillId="0" borderId="54" xfId="5" applyFont="1" applyBorder="1" applyAlignment="1">
      <alignment horizontal="center" vertical="top" wrapText="1"/>
    </xf>
    <xf numFmtId="0" fontId="27" fillId="0" borderId="55" xfId="5" applyFont="1" applyBorder="1" applyAlignment="1">
      <alignment horizontal="center" vertical="top" wrapText="1"/>
    </xf>
    <xf numFmtId="0" fontId="3" fillId="0" borderId="56" xfId="5" applyBorder="1" applyAlignment="1">
      <alignment horizontal="center" wrapText="1"/>
    </xf>
    <xf numFmtId="0" fontId="3" fillId="0" borderId="57" xfId="5" applyBorder="1" applyAlignment="1">
      <alignment horizontal="center" wrapText="1"/>
    </xf>
    <xf numFmtId="0" fontId="3" fillId="0" borderId="58" xfId="5" applyBorder="1" applyAlignment="1">
      <alignment horizontal="center" wrapText="1"/>
    </xf>
    <xf numFmtId="0" fontId="22" fillId="0" borderId="59" xfId="5" applyFont="1" applyBorder="1" applyAlignment="1">
      <alignment horizontal="left" vertical="top" wrapText="1"/>
    </xf>
    <xf numFmtId="0" fontId="22" fillId="0" borderId="60" xfId="5" applyFont="1" applyBorder="1" applyAlignment="1">
      <alignment horizontal="left" vertical="top" wrapText="1"/>
    </xf>
    <xf numFmtId="0" fontId="3" fillId="0" borderId="59" xfId="5" applyBorder="1" applyAlignment="1">
      <alignment horizontal="left" vertical="top" wrapText="1"/>
    </xf>
    <xf numFmtId="0" fontId="3" fillId="0" borderId="61" xfId="5" applyBorder="1" applyAlignment="1">
      <alignment horizontal="left" vertical="top" wrapText="1"/>
    </xf>
    <xf numFmtId="0" fontId="3" fillId="0" borderId="60" xfId="5" applyBorder="1" applyAlignment="1">
      <alignment horizontal="left" vertical="top" wrapText="1"/>
    </xf>
    <xf numFmtId="0" fontId="22" fillId="0" borderId="62" xfId="5" applyFont="1" applyBorder="1" applyAlignment="1">
      <alignment horizontal="left" vertical="top" wrapText="1"/>
    </xf>
    <xf numFmtId="0" fontId="22" fillId="0" borderId="63" xfId="5" applyFont="1" applyBorder="1" applyAlignment="1">
      <alignment horizontal="left" vertical="top" wrapText="1"/>
    </xf>
    <xf numFmtId="0" fontId="22" fillId="0" borderId="64" xfId="5" applyFont="1" applyBorder="1" applyAlignment="1">
      <alignment horizontal="left" vertical="top" wrapText="1"/>
    </xf>
    <xf numFmtId="164" fontId="3" fillId="0" borderId="28" xfId="5" applyNumberFormat="1" applyBorder="1" applyAlignment="1">
      <alignment horizontal="left" vertical="top" wrapText="1"/>
    </xf>
    <xf numFmtId="164" fontId="3" fillId="0" borderId="30" xfId="5" applyNumberFormat="1" applyBorder="1" applyAlignment="1">
      <alignment horizontal="left" vertical="top" wrapText="1"/>
    </xf>
    <xf numFmtId="164" fontId="3" fillId="0" borderId="29" xfId="5" applyNumberFormat="1" applyBorder="1" applyAlignment="1">
      <alignment horizontal="left" vertical="top" wrapText="1"/>
    </xf>
    <xf numFmtId="164" fontId="3" fillId="0" borderId="31" xfId="5" applyNumberFormat="1" applyBorder="1" applyAlignment="1">
      <alignment horizontal="left" vertical="top" wrapText="1"/>
    </xf>
    <xf numFmtId="164" fontId="3" fillId="0" borderId="33" xfId="5" applyNumberFormat="1" applyBorder="1" applyAlignment="1">
      <alignment horizontal="left" vertical="top" wrapText="1"/>
    </xf>
    <xf numFmtId="164" fontId="3" fillId="0" borderId="32" xfId="5" applyNumberFormat="1" applyBorder="1" applyAlignment="1">
      <alignment horizontal="left" vertical="top" wrapText="1"/>
    </xf>
    <xf numFmtId="0" fontId="22" fillId="0" borderId="48" xfId="5" applyFont="1" applyBorder="1" applyAlignment="1">
      <alignment horizontal="left" vertical="top" wrapText="1"/>
    </xf>
    <xf numFmtId="0" fontId="3" fillId="0" borderId="50" xfId="5" applyBorder="1" applyAlignment="1">
      <alignment horizontal="center" vertical="top" wrapText="1"/>
    </xf>
    <xf numFmtId="0" fontId="3" fillId="0" borderId="65" xfId="5" applyBorder="1" applyAlignment="1">
      <alignment horizontal="right" vertical="top" wrapText="1"/>
    </xf>
    <xf numFmtId="0" fontId="3" fillId="0" borderId="65" xfId="5" applyBorder="1" applyAlignment="1">
      <alignment horizontal="left" vertical="top" wrapText="1"/>
    </xf>
    <xf numFmtId="4" fontId="3" fillId="0" borderId="65" xfId="5" applyNumberFormat="1" applyBorder="1" applyAlignment="1">
      <alignment horizontal="right" vertical="top"/>
    </xf>
    <xf numFmtId="0" fontId="29" fillId="0" borderId="0" xfId="5" applyFont="1" applyAlignment="1">
      <alignment horizontal="left" vertical="top" wrapText="1"/>
    </xf>
    <xf numFmtId="0" fontId="30" fillId="0" borderId="0" xfId="5" applyFont="1" applyAlignment="1">
      <alignment horizontal="left" vertical="top" wrapText="1"/>
    </xf>
    <xf numFmtId="0" fontId="31" fillId="0" borderId="0" xfId="5" applyFont="1" applyAlignment="1">
      <alignment horizontal="right" vertical="top" wrapText="1"/>
    </xf>
    <xf numFmtId="0" fontId="34" fillId="0" borderId="0" xfId="5" applyFont="1" applyAlignment="1">
      <alignment horizontal="center" vertical="top" wrapText="1"/>
    </xf>
    <xf numFmtId="0" fontId="33" fillId="0" borderId="0" xfId="5" applyFont="1" applyAlignment="1">
      <alignment horizontal="center" vertical="center" wrapText="1"/>
    </xf>
    <xf numFmtId="0" fontId="33" fillId="0" borderId="0" xfId="5" applyFont="1" applyAlignment="1">
      <alignment horizontal="left" vertical="top" wrapText="1"/>
    </xf>
    <xf numFmtId="0" fontId="33" fillId="0" borderId="0" xfId="5" applyFont="1" applyAlignment="1">
      <alignment horizontal="center" vertical="top" wrapText="1"/>
    </xf>
    <xf numFmtId="0" fontId="37" fillId="0" borderId="0" xfId="0" applyFont="1" applyAlignment="1">
      <alignment horizontal="left" vertical="top" wrapText="1"/>
    </xf>
    <xf numFmtId="0" fontId="34" fillId="0" borderId="19" xfId="5" applyFont="1" applyBorder="1" applyAlignment="1">
      <alignment horizontal="center" vertical="center" wrapText="1"/>
    </xf>
    <xf numFmtId="0" fontId="34" fillId="0" borderId="20" xfId="5" applyFont="1" applyBorder="1" applyAlignment="1">
      <alignment horizontal="center" vertical="center" wrapText="1"/>
    </xf>
    <xf numFmtId="0" fontId="33" fillId="0" borderId="19" xfId="5" applyFont="1" applyBorder="1" applyAlignment="1">
      <alignment horizontal="center" vertical="center" wrapText="1"/>
    </xf>
    <xf numFmtId="0" fontId="33" fillId="0" borderId="20" xfId="5" applyFont="1" applyBorder="1" applyAlignment="1">
      <alignment horizontal="center" vertical="center" wrapText="1"/>
    </xf>
    <xf numFmtId="0" fontId="33" fillId="0" borderId="51" xfId="5" applyFont="1" applyBorder="1" applyAlignment="1">
      <alignment horizontal="center" vertical="center" wrapText="1"/>
    </xf>
    <xf numFmtId="0" fontId="33" fillId="0" borderId="3" xfId="5" applyFont="1" applyBorder="1" applyAlignment="1">
      <alignment horizontal="center" vertical="center" wrapText="1"/>
    </xf>
    <xf numFmtId="0" fontId="33" fillId="0" borderId="51" xfId="5" applyFont="1" applyBorder="1" applyAlignment="1">
      <alignment horizontal="left" vertical="center" wrapText="1"/>
    </xf>
    <xf numFmtId="0" fontId="33" fillId="0" borderId="3" xfId="5" applyFont="1" applyBorder="1" applyAlignment="1">
      <alignment horizontal="left" vertical="center" wrapText="1"/>
    </xf>
    <xf numFmtId="3" fontId="33" fillId="0" borderId="51" xfId="5" applyNumberFormat="1" applyFont="1" applyBorder="1" applyAlignment="1">
      <alignment horizontal="center" vertical="center" wrapText="1"/>
    </xf>
    <xf numFmtId="3" fontId="33" fillId="0" borderId="3" xfId="5" applyNumberFormat="1" applyFont="1" applyBorder="1" applyAlignment="1">
      <alignment horizontal="center" vertical="center" wrapText="1"/>
    </xf>
    <xf numFmtId="4" fontId="34" fillId="0" borderId="20" xfId="5" applyNumberFormat="1" applyFont="1" applyBorder="1" applyAlignment="1">
      <alignment horizontal="center" vertical="center" wrapText="1"/>
    </xf>
    <xf numFmtId="0" fontId="35" fillId="0" borderId="61" xfId="0" applyFont="1" applyBorder="1" applyAlignment="1">
      <alignment horizontal="center" vertical="top" wrapText="1"/>
    </xf>
    <xf numFmtId="0" fontId="35" fillId="0" borderId="0" xfId="0" applyFont="1" applyAlignment="1">
      <alignment horizontal="left" vertical="top" wrapText="1"/>
    </xf>
    <xf numFmtId="0" fontId="35" fillId="0" borderId="33" xfId="0" applyFont="1" applyBorder="1" applyAlignment="1">
      <alignment horizontal="left" vertical="top" wrapText="1"/>
    </xf>
    <xf numFmtId="0" fontId="37" fillId="0" borderId="33" xfId="0" applyFont="1" applyBorder="1" applyAlignment="1">
      <alignment horizontal="center" wrapText="1"/>
    </xf>
    <xf numFmtId="0" fontId="37" fillId="0" borderId="61" xfId="0" applyFont="1" applyBorder="1" applyAlignment="1">
      <alignment horizontal="center" wrapText="1"/>
    </xf>
    <xf numFmtId="0" fontId="33" fillId="0" borderId="33" xfId="5" applyFont="1" applyBorder="1" applyAlignment="1">
      <alignment horizontal="left" vertical="top"/>
    </xf>
    <xf numFmtId="0" fontId="34" fillId="0" borderId="21" xfId="5" applyFont="1" applyBorder="1" applyAlignment="1">
      <alignment horizontal="center" vertical="center" wrapText="1"/>
    </xf>
    <xf numFmtId="0" fontId="33" fillId="0" borderId="21" xfId="5" applyFont="1" applyBorder="1" applyAlignment="1">
      <alignment horizontal="center" vertical="center" wrapText="1"/>
    </xf>
  </cellXfs>
  <cellStyles count="7">
    <cellStyle name="Обычный" xfId="0" builtinId="0"/>
    <cellStyle name="Обычный 2" xfId="5" xr:uid="{DB9309DF-E55E-4DEE-93F1-3AECA13A26BC}"/>
    <cellStyle name="Обычный 2 2" xfId="1" xr:uid="{AF74A46A-820D-463E-B60F-448D23644B75}"/>
    <cellStyle name="Обычный 3" xfId="4" xr:uid="{69A44269-FD40-4BBA-B3F4-454DAA94F237}"/>
    <cellStyle name="Обычный 3 3 2" xfId="2" xr:uid="{A6E6A24E-E8CB-49B2-B1C9-20790DBA5EFD}"/>
    <cellStyle name="Обычный 4" xfId="6" xr:uid="{9064BBEE-6F3A-44D6-B923-C31795AEE088}"/>
    <cellStyle name="Обычный 4 2" xfId="3" xr:uid="{07651E7C-9B75-4610-9F06-EC0E915DB4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8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42" Type="http://schemas.openxmlformats.org/officeDocument/2006/relationships/externalLink" Target="externalLinks/externalLink11.xml"/><Relationship Id="rId47" Type="http://schemas.openxmlformats.org/officeDocument/2006/relationships/externalLink" Target="externalLinks/externalLink16.xml"/><Relationship Id="rId50" Type="http://schemas.openxmlformats.org/officeDocument/2006/relationships/externalLink" Target="externalLinks/externalLink19.xml"/><Relationship Id="rId55" Type="http://schemas.openxmlformats.org/officeDocument/2006/relationships/externalLink" Target="externalLinks/externalLink24.xml"/><Relationship Id="rId63" Type="http://schemas.openxmlformats.org/officeDocument/2006/relationships/externalLink" Target="externalLinks/externalLink32.xml"/><Relationship Id="rId68" Type="http://schemas.openxmlformats.org/officeDocument/2006/relationships/externalLink" Target="externalLinks/externalLink37.xml"/><Relationship Id="rId76" Type="http://schemas.openxmlformats.org/officeDocument/2006/relationships/externalLink" Target="externalLinks/externalLink45.xml"/><Relationship Id="rId84" Type="http://schemas.openxmlformats.org/officeDocument/2006/relationships/externalLink" Target="externalLinks/externalLink53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40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externalLink" Target="externalLinks/externalLink6.xml"/><Relationship Id="rId40" Type="http://schemas.openxmlformats.org/officeDocument/2006/relationships/externalLink" Target="externalLinks/externalLink9.xml"/><Relationship Id="rId45" Type="http://schemas.openxmlformats.org/officeDocument/2006/relationships/externalLink" Target="externalLinks/externalLink14.xml"/><Relationship Id="rId53" Type="http://schemas.openxmlformats.org/officeDocument/2006/relationships/externalLink" Target="externalLinks/externalLink22.xml"/><Relationship Id="rId58" Type="http://schemas.openxmlformats.org/officeDocument/2006/relationships/externalLink" Target="externalLinks/externalLink27.xml"/><Relationship Id="rId66" Type="http://schemas.openxmlformats.org/officeDocument/2006/relationships/externalLink" Target="externalLinks/externalLink35.xml"/><Relationship Id="rId74" Type="http://schemas.openxmlformats.org/officeDocument/2006/relationships/externalLink" Target="externalLinks/externalLink43.xml"/><Relationship Id="rId79" Type="http://schemas.openxmlformats.org/officeDocument/2006/relationships/externalLink" Target="externalLinks/externalLink48.xml"/><Relationship Id="rId8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30.xml"/><Relationship Id="rId82" Type="http://schemas.openxmlformats.org/officeDocument/2006/relationships/externalLink" Target="externalLinks/externalLink51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4.xml"/><Relationship Id="rId43" Type="http://schemas.openxmlformats.org/officeDocument/2006/relationships/externalLink" Target="externalLinks/externalLink12.xml"/><Relationship Id="rId48" Type="http://schemas.openxmlformats.org/officeDocument/2006/relationships/externalLink" Target="externalLinks/externalLink17.xml"/><Relationship Id="rId56" Type="http://schemas.openxmlformats.org/officeDocument/2006/relationships/externalLink" Target="externalLinks/externalLink25.xml"/><Relationship Id="rId64" Type="http://schemas.openxmlformats.org/officeDocument/2006/relationships/externalLink" Target="externalLinks/externalLink33.xml"/><Relationship Id="rId69" Type="http://schemas.openxmlformats.org/officeDocument/2006/relationships/externalLink" Target="externalLinks/externalLink38.xml"/><Relationship Id="rId77" Type="http://schemas.openxmlformats.org/officeDocument/2006/relationships/externalLink" Target="externalLinks/externalLink46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20.xml"/><Relationship Id="rId72" Type="http://schemas.openxmlformats.org/officeDocument/2006/relationships/externalLink" Target="externalLinks/externalLink41.xml"/><Relationship Id="rId80" Type="http://schemas.openxmlformats.org/officeDocument/2006/relationships/externalLink" Target="externalLinks/externalLink49.xml"/><Relationship Id="rId85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externalLink" Target="externalLinks/externalLink7.xml"/><Relationship Id="rId46" Type="http://schemas.openxmlformats.org/officeDocument/2006/relationships/externalLink" Target="externalLinks/externalLink15.xml"/><Relationship Id="rId59" Type="http://schemas.openxmlformats.org/officeDocument/2006/relationships/externalLink" Target="externalLinks/externalLink28.xml"/><Relationship Id="rId67" Type="http://schemas.openxmlformats.org/officeDocument/2006/relationships/externalLink" Target="externalLinks/externalLink36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10.xml"/><Relationship Id="rId54" Type="http://schemas.openxmlformats.org/officeDocument/2006/relationships/externalLink" Target="externalLinks/externalLink23.xml"/><Relationship Id="rId62" Type="http://schemas.openxmlformats.org/officeDocument/2006/relationships/externalLink" Target="externalLinks/externalLink31.xml"/><Relationship Id="rId70" Type="http://schemas.openxmlformats.org/officeDocument/2006/relationships/externalLink" Target="externalLinks/externalLink39.xml"/><Relationship Id="rId75" Type="http://schemas.openxmlformats.org/officeDocument/2006/relationships/externalLink" Target="externalLinks/externalLink44.xml"/><Relationship Id="rId83" Type="http://schemas.openxmlformats.org/officeDocument/2006/relationships/externalLink" Target="externalLinks/externalLink52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5.xml"/><Relationship Id="rId49" Type="http://schemas.openxmlformats.org/officeDocument/2006/relationships/externalLink" Target="externalLinks/externalLink18.xml"/><Relationship Id="rId57" Type="http://schemas.openxmlformats.org/officeDocument/2006/relationships/externalLink" Target="externalLinks/externalLink26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3.xml"/><Relationship Id="rId52" Type="http://schemas.openxmlformats.org/officeDocument/2006/relationships/externalLink" Target="externalLinks/externalLink21.xml"/><Relationship Id="rId60" Type="http://schemas.openxmlformats.org/officeDocument/2006/relationships/externalLink" Target="externalLinks/externalLink29.xml"/><Relationship Id="rId65" Type="http://schemas.openxmlformats.org/officeDocument/2006/relationships/externalLink" Target="externalLinks/externalLink34.xml"/><Relationship Id="rId73" Type="http://schemas.openxmlformats.org/officeDocument/2006/relationships/externalLink" Target="externalLinks/externalLink42.xml"/><Relationship Id="rId78" Type="http://schemas.openxmlformats.org/officeDocument/2006/relationships/externalLink" Target="externalLinks/externalLink47.xml"/><Relationship Id="rId81" Type="http://schemas.openxmlformats.org/officeDocument/2006/relationships/externalLink" Target="externalLinks/externalLink50.xml"/><Relationship Id="rId86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0c3f6f9f4e4ea\!!!&#1072;&#1088;&#1093;&#1080;&#1074;!!!\&#1055;&#1040;&#1057;&#1055;&#1054;&#1056;&#1058;&#1040;\1&#1087;%202008\&#1055;&#1072;&#1089;&#1087;&#1086;&#1088;&#1090;&#1072;%20&#1059;&#1095;&#1088;&#1077;&#1078;&#1076;&#1077;&#1085;&#1080;&#1081;%20&#1075;&#1086;&#1088;&#1086;&#1076;&#1089;&#1082;&#1086;&#1075;&#1086;%20&#1087;&#1086;&#1076;&#1095;&#1080;&#1085;&#1077;&#1085;&#1080;&#1103;%20&#1079;&#1072;%20I%20&#1087;&#1086;&#1083;&#1091;&#1075;&#1086;&#1076;&#1080;&#1077;%202008&#1075;\&#1055;&#1072;&#1089;&#1087;&#1086;&#1088;&#1090;%20&#1059;&#1050;%20&#1052;&#1043;&#1042;&#1047;%20&#1053;&#1086;&#1074;&#1099;&#1081;%20&#1052;&#1072;&#1085;&#1077;&#107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5;&#1055;%20-%20&#1089;&#1085;&#1077;&#1075;&#1086;&#1087;&#1083;&#1072;&#1074;&#1080;&#1083;&#1082;&#1072;%20&#1085;&#1072;%20&#1054;&#1082;&#1090;,%202%20300506\&#1050;&#1055;,%20&#1057;&#1084;&#1077;&#1090;&#1072;%20&#1089;&#1085;&#1077;&#1075;&#1086;&#1087;&#1083;&#1072;&#1074;&#1080;&#1083;&#1100;&#1085;&#1099;&#1081;%20&#1087;&#1091;&#1085;&#1082;&#1090;,%20&#1054;&#1082;&#1090;,2%20&#1082;%20&#1090;&#1077;&#1085;&#1076;&#1077;&#1088;&#1091;%203005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44-249%20&#1056;&#1055;%206%20&#1089;&#1085;&#1077;&#1075;&#1086;&#1087;&#1088;&#1080;&#1077;&#1084;&#1085;&#1099;&#1093;%20&#1087;&#1091;&#1085;&#1082;&#1090;&#1086;&#1074;\247%20&#1055;&#1091;&#1085;&#1082;&#1090;%20&#1055;&#1088;&#1080;&#1084;&#1086;&#1088;&#1089;&#1082;&#1080;&#1081;,%20&#1050;&#1086;&#1083;&#1086;&#1084;&#1103;&#1075;&#1080;\&#1089;&#1084;&#1077;&#1090;&#1072;%20&#1059;&#1043;&#1042;&#1069;140507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0c3f6f9f4e4ea\!!!&#1072;&#1088;&#1093;&#1080;&#1074;!!!\&#1055;&#1040;&#1057;&#1055;&#1054;&#1056;&#1058;&#1040;\1&#1087;%202008\&#1055;&#1072;&#1089;&#1087;&#1086;&#1088;&#1090;&#1072;%20&#1059;&#1095;&#1088;&#1077;&#1078;&#1076;&#1077;&#1085;&#1080;&#1081;%20&#1075;&#1086;&#1088;&#1086;&#1076;&#1089;&#1082;&#1086;&#1075;&#1086;%20&#1087;&#1086;&#1076;&#1095;&#1080;&#1085;&#1077;&#1085;&#1080;&#1103;%20&#1079;&#1072;%20I%20&#1087;&#1086;&#1083;&#1091;&#1075;&#1086;&#1076;&#1080;&#1077;%202008&#1075;\&#1059;&#1050;%20&#1052;&#1086;&#1089;&#1082;&#1086;&#1074;&#1089;&#1082;&#1080;&#1081;%20&#1084;&#1091;&#1079;&#1077;&#1081;%20&#1089;&#1086;&#1074;&#1088;&#1077;&#1084;&#1077;&#1085;&#1085;&#1086;&#1075;&#1086;%20&#1080;&#1089;&#1082;&#1091;&#1089;&#1089;&#1090;&#1074;&#1072;%20I%20&#1087;&#1086;&#1083;&#1091;&#1075;%2008&#1075;.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-&#1087;&#1086;%20&#1086;&#1073;&#1098;&#1077;&#1082;&#1090;&#1072;&#1084;/&#1050;&#1041;&#1044;&#1061;/&#1044;&#1080;&#1088;&#1077;&#1082;&#1094;&#1080;&#1103;%20&#1090;&#1088;&#1072;&#1085;&#1089;&#1087;%20&#1089;&#1090;&#1088;-&#1074;&#1072;/&#1056;&#1072;&#1079;&#1074;&#1103;&#1079;&#1082;&#1072;%20&#1085;&#1072;%20&#1046;&#1091;&#1082;&#1086;&#1074;&#1072;/&#1055;&#1088;&#1086;&#1077;&#1082;&#1090;/1%20&#1086;&#1095;&#1077;&#1088;&#1077;&#1076;&#1100;%20-%20&#1091;&#1083;.&#1052;&#1086;&#1088;.%20&#1087;&#1077;&#1093;&#1086;&#1090;&#1099;%20&#1089;%20&#1084;&#1086;&#1089;&#1090;&#1086;&#1084;/&#1057;&#1084;&#1077;&#1090;&#1099;%20&#1052;&#1046;%201-&#1103;%20&#1086;&#1095;&#1077;&#1088;&#1077;&#1076;&#1100;%2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%20&#1076;&#1083;&#1103;%20&#1090;&#1077;&#1085;&#1076;&#1077;&#1088;&#1072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0c3f6f9f4e4ea\!!!&#1072;&#1088;&#1093;&#1080;&#1074;!!!\&#1055;&#1040;&#1057;&#1055;&#1054;&#1056;&#1058;&#1040;\2007\&#1055;&#1072;&#1089;&#1087;&#1086;&#1088;&#1090;&#1072;%20&#1079;&#1072;%202007%20%20&#1059;&#1095;&#1088;&#1077;&#1078;&#1076;&#1077;&#1085;&#1080;&#1081;%20&#1075;&#1086;&#1088;&#1086;&#1076;&#1089;&#1082;&#1086;&#1075;&#1086;%20&#1087;&#1086;&#1076;&#1095;&#1080;&#1085;&#1077;&#1085;&#1080;&#1103;\&#1043;&#1086;&#1089;&#1091;&#1076;&#1072;&#1088;&#1089;&#1090;&#1074;&#1077;&#1085;&#1085;&#1099;&#1081;%20&#1084;&#1091;&#1079;&#1077;&#1081;%20&#1080;&#1084;.%20&#1040;.&#1057;.%20&#1055;&#1091;&#1096;&#1082;&#1080;&#1085;&#1072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3;&#1072;&#1090;&#1072;&#1083;&#1100;&#1103;%20&#1057;&#1090;&#1088;&#1077;&#1073;&#1082;&#1086;&#1074;&#1072;/Desktop/&#1056;&#1053;&#1062;%20&#1052;&#1080;&#1085;&#1089;&#1090;&#1088;&#1086;&#1081;/&#1044;&#1086;&#1082;&#1091;&#1084;&#1077;&#1085;&#1090;&#1099;%20&#1087;&#1086;%20&#1057;&#1090;&#1088;&#1086;&#1081;&#1089;&#1091;&#1076;&#1101;&#1082;&#1077;&#1089;&#1087;&#1077;&#1088;&#1090;&#1080;&#1079;&#1077;/&#1057;&#1084;&#1077;&#1090;&#1099;%20&#1087;&#1086;%20&#1087;&#1088;&#1080;&#1095;&#1072;&#1083;&#1091;%20&#1082;&#1086;&#1088;&#1088;%202%20&#1085;&#1072;%2024.10.2019/&#1048;&#1089;&#1087;&#1088;&#1072;&#1074;&#1083;&#1077;&#1085;&#1085;&#1072;&#1103;%20&#1086;&#1090;%20&#1048;&#1050;2&#1050;%20%20%20%20&#1058;&#1077;&#1093;&#1055;&#1088;&#1080;&#1095;&#1072;&#1083;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/DOG5/5-348/Smety/&#1057;&#1077;&#1089;&#1090;&#1088;&#1086;&#1088;&#1077;&#1094;&#1082;/Smeta2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57;&#1077;&#1083;&#1100;&#1089;&#1082;&#1072;&#1103;\&#1089;&#1085;&#1080;&#1078;&#1077;&#1085;&#1080;&#1077;%20&#1057;&#1084;&#1077;&#1090;&#1072;_&#1085;&#1072;_&#1057;&#1077;&#1083;&#1100;&#1089;&#1082;&#1091;&#110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4%20&#1055;&#1091;&#1096;&#1082;&#1080;&#108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ser\&#1056;&#1072;&#1073;&#1086;&#1095;&#1080;&#1081;%20&#1089;&#1090;&#1086;&#1083;\&#1040;&#1053;&#1058;&#1054;&#1053;&#1054;&#1042;&#1040;\&#1054;&#1051;&#1068;&#1043;&#1040;\&#1054;&#1073;&#1098;&#1077;&#1082;&#1090;&#1099;\&#1055;&#1086;&#1074;&#1072;&#1088;&#1089;&#1082;&#1072;&#1103;\&#1044;&#1057;%209%20-%20&#1076;&#1086;&#1087;.&#1088;&#1072;&#1073;&#1086;&#1090;&#1099;\&#1089;&#1087;%20&#1089;&#1084;&#1077;&#1090;&#1072;%20&#1055;&#1054;&#1044;%20&#1101;&#1082;&#1089;&#1087;&#1083;&#1091;&#1072;&#1090;&#1072;&#1094;&#1080;&#1103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0opr/Smety/Smety/&#1057;&#1077;&#1089;&#1090;&#1088;&#1086;&#1088;&#1077;&#1094;&#1082;/Smeta-tonnel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-&#1087;&#1086;%20&#1086;&#1073;&#1098;&#1077;&#1082;&#1090;&#1072;&#1084;/&#1050;&#1041;&#1044;&#1061;/&#1044;&#1080;&#1088;&#1077;&#1082;&#1094;&#1080;&#1103;%20&#1090;&#1088;&#1072;&#1085;&#1089;&#1087;%20&#1089;&#1090;&#1088;-&#1074;&#1072;/&#1057;&#1085;&#1077;&#1075;/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0opr/Smety/Smety/&#1057;&#1077;&#1089;&#1090;&#1088;&#1086;&#1088;&#1077;&#1094;&#1082;/Smeta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0opr/Smety/&#1050;&#1086;&#1085;&#1102;&#1096;&#1077;&#1085;&#1085;&#1072;&#1103;%20&#1091;&#1083;&#1080;&#1094;&#1072;/Smeta-tonnel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0opr/Smety/Smety/&#1050;&#1086;&#1085;&#1102;&#1096;&#1077;&#1085;&#1085;&#1072;&#1103;%20&#1091;&#1083;&#1080;&#1094;&#1072;/Smeta-tonne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07_&#1076;&#1086;&#1075;/!&#1044;&#1086;&#1075;&#1086;&#1074;&#1086;&#1088;&#1099;%20&#1085;&#1072;%202007%20&#1075;&#1086;&#1076;/&#1050;&#1091;&#1081;&#1073;_&#1046;&#1044;_&#1055;&#1048;&#1056;_&#1055;&#1054;/&#1040;&#1043;&#1043;_%20new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/DOG5/5176-1/Smeta-5-176-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WP\NGK\5_2005\&#1057;&#1084;&#1077;&#1090;&#1072;_5_2005_&#1050;&#1072;&#1088;&#1100;&#1077;&#1088;&#1099;-&#104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е сведения"/>
      <sheetName val="Показатели"/>
      <sheetName val="Здания"/>
      <sheetName val="Оборудование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I1" t="str">
            <v>Отдельно стоящее</v>
          </cell>
        </row>
        <row r="2">
          <cell r="I2" t="str">
            <v>В жилом доме</v>
          </cell>
        </row>
        <row r="3">
          <cell r="I3" t="str">
            <v>Подвальное</v>
          </cell>
        </row>
        <row r="4">
          <cell r="I4" t="str">
            <v>Цоколь</v>
          </cell>
        </row>
        <row r="5">
          <cell r="I5" t="str">
            <v>Иное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/>
      <sheetData sheetId="1"/>
      <sheetData sheetId="2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  <row r="11">
          <cell r="C11" t="str">
            <v>СПб ГУ "Дирекция транспортного строительства"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Д"/>
      <sheetName val="СметаСводная Риж"/>
      <sheetName val="См1 ТопоГео  (планшеты)"/>
      <sheetName val="Смета2 Инвентариз"/>
      <sheetName val="Смета3 геология"/>
      <sheetName val="смета4  Дор.работы Риж"/>
      <sheetName val="Смета5 - СетиРиж"/>
      <sheetName val="смета6 Арх-стр часть"/>
      <sheetName val="См8 Расчет Трансп.схемы"/>
      <sheetName val="Смета9регламент с 0,293"/>
      <sheetName val="См10  ГО и ЧС"/>
    </sheetNames>
    <sheetDataSet>
      <sheetData sheetId="0" refreshError="1"/>
      <sheetData sheetId="1" refreshError="1">
        <row r="9">
          <cell r="C9" t="str">
            <v>СПб ГУ "Дирекция транспортного строительства"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  <row r="9">
          <cell r="D9" t="str">
            <v>ООО "Инжтехнология"</v>
          </cell>
        </row>
        <row r="11">
          <cell r="D11" t="str">
            <v>ЗАО "ЭкспоФорум"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/>
      <sheetData sheetId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платежей 2006 год"/>
      <sheetName val="КП снег кол"/>
      <sheetName val="СметаСводная кол"/>
      <sheetName val="реестр"/>
      <sheetName val="Смета1 Топо ол"/>
      <sheetName val="Смета10 регламент (2)"/>
      <sheetName val="Смета2 Инвент Кол"/>
      <sheetName val="Смета3Межев Кол"/>
      <sheetName val="Смета4геология кол"/>
      <sheetName val="См5 эколог изыск кол"/>
      <sheetName val="смета6  Дор.работы кол"/>
      <sheetName val="смета7 Арх-стр часть"/>
      <sheetName val="Смета 8 кол - Сети"/>
      <sheetName val="См 9Расчет Трансп.схемы"/>
      <sheetName val="Смета10 регламент"/>
      <sheetName val="см11 конк докум кол"/>
      <sheetName val="Смета11 Юрид оформл кол"/>
      <sheetName val="См13 ГО и ЧС"/>
      <sheetName val="Смета межев Шк"/>
      <sheetName val="Смета1 Топосъемка неправ"/>
      <sheetName val="Смета6а технология"/>
      <sheetName val="Смета10 кадастр съемка кол"/>
    </sheetNames>
    <sheetDataSet>
      <sheetData sheetId="0"/>
      <sheetData sheetId="1"/>
      <sheetData sheetId="2" refreshError="1">
        <row r="7">
          <cell r="F7" t="str">
            <v>Рабочий проект  по объекту "Снегоприемный пункт по адресу:  Приморский район, квартал 20-Д нежилой зоны "Коломяги"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Ачинский НПЗ"/>
      <sheetName val="свод 2"/>
      <sheetName val="См3 СЦБ-зап"/>
      <sheetName val="СметаСводная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Дог цена"/>
      <sheetName val="пятилетка"/>
      <sheetName val="мониторинг"/>
      <sheetName val=""/>
      <sheetName val="Геодезия-1.1"/>
      <sheetName val="Сводная смета"/>
      <sheetName val="Коэфф1."/>
      <sheetName val="СМЕТА проект"/>
      <sheetName val="Сводная "/>
      <sheetName val="D"/>
      <sheetName val="Справочники"/>
      <sheetName val="СВОД"/>
      <sheetName val="ПД"/>
      <sheetName val="Смета1"/>
      <sheetName val="ид"/>
      <sheetName val="Const"/>
      <sheetName val="ц_1991"/>
      <sheetName val=" Оборудование  end"/>
      <sheetName val="СметаСводная кол"/>
      <sheetName val="сводная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е сведения"/>
      <sheetName val="Показатели"/>
      <sheetName val="Здания"/>
      <sheetName val="Оборудован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I1" t="str">
            <v>Отдельно стоящее</v>
          </cell>
        </row>
        <row r="2">
          <cell r="I2" t="str">
            <v>В жилом доме</v>
          </cell>
        </row>
        <row r="3">
          <cell r="I3" t="str">
            <v>Подвальное</v>
          </cell>
        </row>
        <row r="4">
          <cell r="I4" t="str">
            <v>Цоколь</v>
          </cell>
        </row>
        <row r="5">
          <cell r="I5" t="str">
            <v>Иное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</sheetNames>
    <sheetDataSet>
      <sheetData sheetId="0"/>
      <sheetData sheetId="1">
        <row r="2">
          <cell r="A2">
            <v>25</v>
          </cell>
        </row>
      </sheetData>
      <sheetData sheetId="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</sheetNames>
    <sheetDataSet>
      <sheetData sheetId="0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ичм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КП Мак-2"/>
    </sheetNames>
    <sheetDataSet>
      <sheetData sheetId="0"/>
      <sheetData sheetId="1"/>
      <sheetData sheetId="2" refreshError="1">
        <row r="8">
          <cell r="D8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/>
      <sheetData sheetId="1"/>
      <sheetData sheetId="2"/>
      <sheetData sheetId="3"/>
      <sheetData sheetId="4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/>
      <sheetData sheetId="1"/>
      <sheetData sheetId="2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е сведения"/>
      <sheetName val="Показатели"/>
      <sheetName val="Здания"/>
      <sheetName val="Оборудование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I1" t="str">
            <v>Отдельно стоящее</v>
          </cell>
        </row>
        <row r="2">
          <cell r="I2" t="str">
            <v>В жилом доме</v>
          </cell>
        </row>
        <row r="3">
          <cell r="I3" t="str">
            <v>Подвальное</v>
          </cell>
        </row>
        <row r="4">
          <cell r="I4" t="str">
            <v>Цоколь</v>
          </cell>
        </row>
        <row r="5">
          <cell r="I5" t="str">
            <v>Иное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гнитка2"/>
      <sheetName val="ПРОМЕРЫ отвал"/>
      <sheetName val="ПРОМЕРЫ аква"/>
      <sheetName val="сводка"/>
      <sheetName val="1.геология аква (2)"/>
      <sheetName val="2.геология суша (2)"/>
      <sheetName val="3.метео (2)"/>
      <sheetName val="4.метео1 (2)"/>
      <sheetName val="5.топография (2)"/>
      <sheetName val="6.Гидрография (2)"/>
      <sheetName val="7.архео суша (2)"/>
      <sheetName val="8.экология (2)"/>
      <sheetName val="9.обслед (2)"/>
      <sheetName val="Геофизика аква"/>
      <sheetName val="Геофизика суша"/>
      <sheetName val="трал"/>
      <sheetName val="1.геология аква"/>
      <sheetName val="2.геология суша"/>
      <sheetName val="3.метео"/>
      <sheetName val="4.метео1"/>
      <sheetName val="5.топография"/>
      <sheetName val="6.Гидрография"/>
      <sheetName val="7.архео суша"/>
      <sheetName val="8.экология"/>
      <sheetName val="архео аква"/>
      <sheetName val="сваи1"/>
      <sheetName val="оси"/>
      <sheetName val="Лист1"/>
      <sheetName val="9.обслед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6">
          <cell r="H6" t="str">
            <v>в ценах 1991г. с пересчетом в текущий уровень цен</v>
          </cell>
        </row>
        <row r="99">
          <cell r="F99">
            <v>0.2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ИД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  <sheetName val="Лист1"/>
      <sheetName val="1.3"/>
      <sheetName val="матер."/>
      <sheetName val="см8"/>
      <sheetName val="Прочее"/>
      <sheetName val="Заполнение"/>
      <sheetName val="№1ИИ"/>
      <sheetName val="Объемы работ по ПВ"/>
      <sheetName val="1.1"/>
      <sheetName val="Смета 7"/>
      <sheetName val="ПД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</sheetNames>
    <sheetDataSet>
      <sheetData sheetId="0"/>
      <sheetData sheetId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>
        <row r="7">
          <cell r="D7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(2)"/>
      <sheetName val="Смета1 топог Ира"/>
      <sheetName val="Смета3 геол Сев"/>
      <sheetName val="Смета3 эколог изыск"/>
      <sheetName val="Смета4 гидрология"/>
      <sheetName val="См5 экон"/>
      <sheetName val="Смета 6 инв"/>
      <sheetName val="см2_оценка"/>
      <sheetName val="Смета 7 дороги"/>
      <sheetName val="См 8 мосты"/>
      <sheetName val="См 8а трубы"/>
      <sheetName val="См4_ОЗ"/>
      <sheetName val="Смета 12 светоф"/>
      <sheetName val="Смета10 НВК"/>
      <sheetName val="Смета 11 СС"/>
      <sheetName val="Смета 58 ГАЗ (3)"/>
      <sheetName val="Смета16_ВЛ"/>
      <sheetName val="См11_НО "/>
      <sheetName val="См13 ТР"/>
      <sheetName val="Смета 15 ГОЧС"/>
      <sheetName val="СМЕТА 13 КГИОП"/>
    </sheetNames>
    <sheetDataSet>
      <sheetData sheetId="0" refreshError="1">
        <row r="7">
          <cell r="D7" t="str">
            <v>Пусковой комплекс 1-ой очереди строительства продолжения Витебского проспекта 
2-ой этап - реконструкция участка Петербургского шоссе от пересечения продолжения Витебского проспекта и Петербургского шоссе до Детскосельского бульвара в г. Пушкин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роги"/>
      <sheetName val="Сети"/>
      <sheetName val="Площадки"/>
      <sheetName val="база"/>
      <sheetName val="Коэффициенты"/>
      <sheetName val="сп смета ПОД эксплуатация"/>
    </sheetNames>
    <sheetDataSet>
      <sheetData sheetId="0"/>
      <sheetData sheetId="1"/>
      <sheetData sheetId="2"/>
      <sheetData sheetId="3">
        <row r="1">
          <cell r="E1" t="str">
            <v xml:space="preserve"> </v>
          </cell>
        </row>
        <row r="2">
          <cell r="E2" t="str">
            <v>Моськин В.А.</v>
          </cell>
        </row>
        <row r="3">
          <cell r="E3" t="str">
            <v>Лысов А.Е.</v>
          </cell>
        </row>
        <row r="4">
          <cell r="E4" t="str">
            <v>Четыркина Г.В.</v>
          </cell>
        </row>
        <row r="5">
          <cell r="E5" t="str">
            <v>Шлячков Д.</v>
          </cell>
        </row>
        <row r="6">
          <cell r="E6" t="str">
            <v>Шувалов Д.Ю.</v>
          </cell>
        </row>
        <row r="7">
          <cell r="E7" t="str">
            <v>Сагаев Р.Б.</v>
          </cell>
        </row>
      </sheetData>
      <sheetData sheetId="4">
        <row r="1">
          <cell r="A1" t="str">
            <v xml:space="preserve"> </v>
          </cell>
          <cell r="D1" t="str">
            <v xml:space="preserve"> </v>
          </cell>
        </row>
        <row r="2">
          <cell r="A2" t="str">
            <v>1,1</v>
          </cell>
          <cell r="D2" t="str">
            <v>1-3 га</v>
          </cell>
        </row>
        <row r="3">
          <cell r="A3" t="str">
            <v>1,25</v>
          </cell>
          <cell r="D3" t="str">
            <v>более 3 га</v>
          </cell>
        </row>
        <row r="4">
          <cell r="A4" t="str">
            <v>1,43</v>
          </cell>
        </row>
        <row r="5">
          <cell r="A5" t="str">
            <v>1,67</v>
          </cell>
        </row>
        <row r="6">
          <cell r="A6" t="str">
            <v>2</v>
          </cell>
        </row>
      </sheetData>
      <sheetData sheetId="5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ная"/>
      <sheetName val="93-110"/>
      <sheetName val="Смета"/>
      <sheetName val="Коэфф1."/>
      <sheetName val="свод1"/>
      <sheetName val="свод"/>
      <sheetName val="Данные для расчёта сметы"/>
      <sheetName val="СметаСводная Колпино"/>
      <sheetName val="Январь"/>
      <sheetName val="СметаСводная"/>
      <sheetName val="ИДвалка"/>
      <sheetName val="Смета 1свод"/>
      <sheetName val="см8"/>
      <sheetName val="свод 2"/>
      <sheetName val="Смета 3 Гидролог"/>
      <sheetName val="СметаСводная Рыб"/>
      <sheetName val="матер."/>
      <sheetName val="геология "/>
      <sheetName val="Хаттон 90.90 Femco"/>
      <sheetName val="Итог"/>
      <sheetName val="свод общ"/>
      <sheetName val="р.Волхов"/>
      <sheetName val="СметаСводная снег"/>
      <sheetName val="ПРОГНОЗ_1"/>
      <sheetName val="Гр5(о)"/>
      <sheetName val="ресурсная вед."/>
      <sheetName val="ОПС"/>
      <sheetName val="ИД1"/>
      <sheetName val="кп"/>
      <sheetName val="шаблон"/>
      <sheetName val="АЧ"/>
      <sheetName val="КП Прим (3)"/>
      <sheetName val="гидрология"/>
      <sheetName val="смета СИД"/>
      <sheetName val="эл.химз."/>
      <sheetName val="Объемы работ по ПВ"/>
      <sheetName val="Параметры"/>
    </sheetNames>
    <sheetDataSet>
      <sheetData sheetId="0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9">
          <cell r="C9" t="str">
            <v>Рабочая документация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F1">
            <v>0.83155992578849702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/>
      <sheetData sheetId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/>
      <sheetData sheetId="1"/>
      <sheetData sheetId="2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F1">
            <v>0.83155992578849702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F1">
            <v>0.83155992578849702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геолог"/>
      <sheetName val="Лист2"/>
      <sheetName val="Лист3"/>
      <sheetName val="геолог м"/>
    </sheetNames>
    <sheetDataSet>
      <sheetData sheetId="0" refreshError="1"/>
      <sheetData sheetId="1">
        <row r="81">
          <cell r="L81">
            <v>11150.96551828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41CAD-E8A7-49D8-8735-07956F744432}">
  <dimension ref="A1:E58"/>
  <sheetViews>
    <sheetView tabSelected="1" topLeftCell="A40" zoomScale="95" zoomScaleNormal="95" workbookViewId="0">
      <selection activeCell="E47" sqref="E47"/>
    </sheetView>
  </sheetViews>
  <sheetFormatPr defaultRowHeight="12.75" x14ac:dyDescent="0.2"/>
  <cols>
    <col min="1" max="1" width="6.5703125" style="2" customWidth="1"/>
    <col min="2" max="2" width="70.140625" style="2" customWidth="1"/>
    <col min="3" max="3" width="27.5703125" style="2" customWidth="1"/>
    <col min="4" max="4" width="23.42578125" style="2" customWidth="1"/>
    <col min="5" max="5" width="34.28515625" style="2" customWidth="1"/>
    <col min="6" max="6" width="8.7109375" style="2"/>
    <col min="7" max="7" width="11.28515625" style="2" bestFit="1" customWidth="1"/>
    <col min="8" max="255" width="8.7109375" style="2"/>
    <col min="256" max="256" width="13" style="2" customWidth="1"/>
    <col min="257" max="257" width="25.7109375" style="2" customWidth="1"/>
    <col min="258" max="258" width="19.42578125" style="2" customWidth="1"/>
    <col min="259" max="259" width="16.85546875" style="2" customWidth="1"/>
    <col min="260" max="260" width="19.5703125" style="2" customWidth="1"/>
    <col min="261" max="511" width="8.7109375" style="2"/>
    <col min="512" max="512" width="13" style="2" customWidth="1"/>
    <col min="513" max="513" width="25.7109375" style="2" customWidth="1"/>
    <col min="514" max="514" width="19.42578125" style="2" customWidth="1"/>
    <col min="515" max="515" width="16.85546875" style="2" customWidth="1"/>
    <col min="516" max="516" width="19.5703125" style="2" customWidth="1"/>
    <col min="517" max="767" width="8.7109375" style="2"/>
    <col min="768" max="768" width="13" style="2" customWidth="1"/>
    <col min="769" max="769" width="25.7109375" style="2" customWidth="1"/>
    <col min="770" max="770" width="19.42578125" style="2" customWidth="1"/>
    <col min="771" max="771" width="16.85546875" style="2" customWidth="1"/>
    <col min="772" max="772" width="19.5703125" style="2" customWidth="1"/>
    <col min="773" max="1023" width="8.7109375" style="2"/>
    <col min="1024" max="1024" width="13" style="2" customWidth="1"/>
    <col min="1025" max="1025" width="25.7109375" style="2" customWidth="1"/>
    <col min="1026" max="1026" width="19.42578125" style="2" customWidth="1"/>
    <col min="1027" max="1027" width="16.85546875" style="2" customWidth="1"/>
    <col min="1028" max="1028" width="19.5703125" style="2" customWidth="1"/>
    <col min="1029" max="1279" width="8.7109375" style="2"/>
    <col min="1280" max="1280" width="13" style="2" customWidth="1"/>
    <col min="1281" max="1281" width="25.7109375" style="2" customWidth="1"/>
    <col min="1282" max="1282" width="19.42578125" style="2" customWidth="1"/>
    <col min="1283" max="1283" width="16.85546875" style="2" customWidth="1"/>
    <col min="1284" max="1284" width="19.5703125" style="2" customWidth="1"/>
    <col min="1285" max="1535" width="8.7109375" style="2"/>
    <col min="1536" max="1536" width="13" style="2" customWidth="1"/>
    <col min="1537" max="1537" width="25.7109375" style="2" customWidth="1"/>
    <col min="1538" max="1538" width="19.42578125" style="2" customWidth="1"/>
    <col min="1539" max="1539" width="16.85546875" style="2" customWidth="1"/>
    <col min="1540" max="1540" width="19.5703125" style="2" customWidth="1"/>
    <col min="1541" max="1791" width="8.7109375" style="2"/>
    <col min="1792" max="1792" width="13" style="2" customWidth="1"/>
    <col min="1793" max="1793" width="25.7109375" style="2" customWidth="1"/>
    <col min="1794" max="1794" width="19.42578125" style="2" customWidth="1"/>
    <col min="1795" max="1795" width="16.85546875" style="2" customWidth="1"/>
    <col min="1796" max="1796" width="19.5703125" style="2" customWidth="1"/>
    <col min="1797" max="2047" width="8.7109375" style="2"/>
    <col min="2048" max="2048" width="13" style="2" customWidth="1"/>
    <col min="2049" max="2049" width="25.7109375" style="2" customWidth="1"/>
    <col min="2050" max="2050" width="19.42578125" style="2" customWidth="1"/>
    <col min="2051" max="2051" width="16.85546875" style="2" customWidth="1"/>
    <col min="2052" max="2052" width="19.5703125" style="2" customWidth="1"/>
    <col min="2053" max="2303" width="8.7109375" style="2"/>
    <col min="2304" max="2304" width="13" style="2" customWidth="1"/>
    <col min="2305" max="2305" width="25.7109375" style="2" customWidth="1"/>
    <col min="2306" max="2306" width="19.42578125" style="2" customWidth="1"/>
    <col min="2307" max="2307" width="16.85546875" style="2" customWidth="1"/>
    <col min="2308" max="2308" width="19.5703125" style="2" customWidth="1"/>
    <col min="2309" max="2559" width="8.7109375" style="2"/>
    <col min="2560" max="2560" width="13" style="2" customWidth="1"/>
    <col min="2561" max="2561" width="25.7109375" style="2" customWidth="1"/>
    <col min="2562" max="2562" width="19.42578125" style="2" customWidth="1"/>
    <col min="2563" max="2563" width="16.85546875" style="2" customWidth="1"/>
    <col min="2564" max="2564" width="19.5703125" style="2" customWidth="1"/>
    <col min="2565" max="2815" width="8.7109375" style="2"/>
    <col min="2816" max="2816" width="13" style="2" customWidth="1"/>
    <col min="2817" max="2817" width="25.7109375" style="2" customWidth="1"/>
    <col min="2818" max="2818" width="19.42578125" style="2" customWidth="1"/>
    <col min="2819" max="2819" width="16.85546875" style="2" customWidth="1"/>
    <col min="2820" max="2820" width="19.5703125" style="2" customWidth="1"/>
    <col min="2821" max="3071" width="8.7109375" style="2"/>
    <col min="3072" max="3072" width="13" style="2" customWidth="1"/>
    <col min="3073" max="3073" width="25.7109375" style="2" customWidth="1"/>
    <col min="3074" max="3074" width="19.42578125" style="2" customWidth="1"/>
    <col min="3075" max="3075" width="16.85546875" style="2" customWidth="1"/>
    <col min="3076" max="3076" width="19.5703125" style="2" customWidth="1"/>
    <col min="3077" max="3327" width="8.7109375" style="2"/>
    <col min="3328" max="3328" width="13" style="2" customWidth="1"/>
    <col min="3329" max="3329" width="25.7109375" style="2" customWidth="1"/>
    <col min="3330" max="3330" width="19.42578125" style="2" customWidth="1"/>
    <col min="3331" max="3331" width="16.85546875" style="2" customWidth="1"/>
    <col min="3332" max="3332" width="19.5703125" style="2" customWidth="1"/>
    <col min="3333" max="3583" width="8.7109375" style="2"/>
    <col min="3584" max="3584" width="13" style="2" customWidth="1"/>
    <col min="3585" max="3585" width="25.7109375" style="2" customWidth="1"/>
    <col min="3586" max="3586" width="19.42578125" style="2" customWidth="1"/>
    <col min="3587" max="3587" width="16.85546875" style="2" customWidth="1"/>
    <col min="3588" max="3588" width="19.5703125" style="2" customWidth="1"/>
    <col min="3589" max="3839" width="8.7109375" style="2"/>
    <col min="3840" max="3840" width="13" style="2" customWidth="1"/>
    <col min="3841" max="3841" width="25.7109375" style="2" customWidth="1"/>
    <col min="3842" max="3842" width="19.42578125" style="2" customWidth="1"/>
    <col min="3843" max="3843" width="16.85546875" style="2" customWidth="1"/>
    <col min="3844" max="3844" width="19.5703125" style="2" customWidth="1"/>
    <col min="3845" max="4095" width="8.7109375" style="2"/>
    <col min="4096" max="4096" width="13" style="2" customWidth="1"/>
    <col min="4097" max="4097" width="25.7109375" style="2" customWidth="1"/>
    <col min="4098" max="4098" width="19.42578125" style="2" customWidth="1"/>
    <col min="4099" max="4099" width="16.85546875" style="2" customWidth="1"/>
    <col min="4100" max="4100" width="19.5703125" style="2" customWidth="1"/>
    <col min="4101" max="4351" width="8.7109375" style="2"/>
    <col min="4352" max="4352" width="13" style="2" customWidth="1"/>
    <col min="4353" max="4353" width="25.7109375" style="2" customWidth="1"/>
    <col min="4354" max="4354" width="19.42578125" style="2" customWidth="1"/>
    <col min="4355" max="4355" width="16.85546875" style="2" customWidth="1"/>
    <col min="4356" max="4356" width="19.5703125" style="2" customWidth="1"/>
    <col min="4357" max="4607" width="8.7109375" style="2"/>
    <col min="4608" max="4608" width="13" style="2" customWidth="1"/>
    <col min="4609" max="4609" width="25.7109375" style="2" customWidth="1"/>
    <col min="4610" max="4610" width="19.42578125" style="2" customWidth="1"/>
    <col min="4611" max="4611" width="16.85546875" style="2" customWidth="1"/>
    <col min="4612" max="4612" width="19.5703125" style="2" customWidth="1"/>
    <col min="4613" max="4863" width="8.7109375" style="2"/>
    <col min="4864" max="4864" width="13" style="2" customWidth="1"/>
    <col min="4865" max="4865" width="25.7109375" style="2" customWidth="1"/>
    <col min="4866" max="4866" width="19.42578125" style="2" customWidth="1"/>
    <col min="4867" max="4867" width="16.85546875" style="2" customWidth="1"/>
    <col min="4868" max="4868" width="19.5703125" style="2" customWidth="1"/>
    <col min="4869" max="5119" width="8.7109375" style="2"/>
    <col min="5120" max="5120" width="13" style="2" customWidth="1"/>
    <col min="5121" max="5121" width="25.7109375" style="2" customWidth="1"/>
    <col min="5122" max="5122" width="19.42578125" style="2" customWidth="1"/>
    <col min="5123" max="5123" width="16.85546875" style="2" customWidth="1"/>
    <col min="5124" max="5124" width="19.5703125" style="2" customWidth="1"/>
    <col min="5125" max="5375" width="8.7109375" style="2"/>
    <col min="5376" max="5376" width="13" style="2" customWidth="1"/>
    <col min="5377" max="5377" width="25.7109375" style="2" customWidth="1"/>
    <col min="5378" max="5378" width="19.42578125" style="2" customWidth="1"/>
    <col min="5379" max="5379" width="16.85546875" style="2" customWidth="1"/>
    <col min="5380" max="5380" width="19.5703125" style="2" customWidth="1"/>
    <col min="5381" max="5631" width="8.7109375" style="2"/>
    <col min="5632" max="5632" width="13" style="2" customWidth="1"/>
    <col min="5633" max="5633" width="25.7109375" style="2" customWidth="1"/>
    <col min="5634" max="5634" width="19.42578125" style="2" customWidth="1"/>
    <col min="5635" max="5635" width="16.85546875" style="2" customWidth="1"/>
    <col min="5636" max="5636" width="19.5703125" style="2" customWidth="1"/>
    <col min="5637" max="5887" width="8.7109375" style="2"/>
    <col min="5888" max="5888" width="13" style="2" customWidth="1"/>
    <col min="5889" max="5889" width="25.7109375" style="2" customWidth="1"/>
    <col min="5890" max="5890" width="19.42578125" style="2" customWidth="1"/>
    <col min="5891" max="5891" width="16.85546875" style="2" customWidth="1"/>
    <col min="5892" max="5892" width="19.5703125" style="2" customWidth="1"/>
    <col min="5893" max="6143" width="8.7109375" style="2"/>
    <col min="6144" max="6144" width="13" style="2" customWidth="1"/>
    <col min="6145" max="6145" width="25.7109375" style="2" customWidth="1"/>
    <col min="6146" max="6146" width="19.42578125" style="2" customWidth="1"/>
    <col min="6147" max="6147" width="16.85546875" style="2" customWidth="1"/>
    <col min="6148" max="6148" width="19.5703125" style="2" customWidth="1"/>
    <col min="6149" max="6399" width="8.7109375" style="2"/>
    <col min="6400" max="6400" width="13" style="2" customWidth="1"/>
    <col min="6401" max="6401" width="25.7109375" style="2" customWidth="1"/>
    <col min="6402" max="6402" width="19.42578125" style="2" customWidth="1"/>
    <col min="6403" max="6403" width="16.85546875" style="2" customWidth="1"/>
    <col min="6404" max="6404" width="19.5703125" style="2" customWidth="1"/>
    <col min="6405" max="6655" width="8.7109375" style="2"/>
    <col min="6656" max="6656" width="13" style="2" customWidth="1"/>
    <col min="6657" max="6657" width="25.7109375" style="2" customWidth="1"/>
    <col min="6658" max="6658" width="19.42578125" style="2" customWidth="1"/>
    <col min="6659" max="6659" width="16.85546875" style="2" customWidth="1"/>
    <col min="6660" max="6660" width="19.5703125" style="2" customWidth="1"/>
    <col min="6661" max="6911" width="8.7109375" style="2"/>
    <col min="6912" max="6912" width="13" style="2" customWidth="1"/>
    <col min="6913" max="6913" width="25.7109375" style="2" customWidth="1"/>
    <col min="6914" max="6914" width="19.42578125" style="2" customWidth="1"/>
    <col min="6915" max="6915" width="16.85546875" style="2" customWidth="1"/>
    <col min="6916" max="6916" width="19.5703125" style="2" customWidth="1"/>
    <col min="6917" max="7167" width="8.7109375" style="2"/>
    <col min="7168" max="7168" width="13" style="2" customWidth="1"/>
    <col min="7169" max="7169" width="25.7109375" style="2" customWidth="1"/>
    <col min="7170" max="7170" width="19.42578125" style="2" customWidth="1"/>
    <col min="7171" max="7171" width="16.85546875" style="2" customWidth="1"/>
    <col min="7172" max="7172" width="19.5703125" style="2" customWidth="1"/>
    <col min="7173" max="7423" width="8.7109375" style="2"/>
    <col min="7424" max="7424" width="13" style="2" customWidth="1"/>
    <col min="7425" max="7425" width="25.7109375" style="2" customWidth="1"/>
    <col min="7426" max="7426" width="19.42578125" style="2" customWidth="1"/>
    <col min="7427" max="7427" width="16.85546875" style="2" customWidth="1"/>
    <col min="7428" max="7428" width="19.5703125" style="2" customWidth="1"/>
    <col min="7429" max="7679" width="8.7109375" style="2"/>
    <col min="7680" max="7680" width="13" style="2" customWidth="1"/>
    <col min="7681" max="7681" width="25.7109375" style="2" customWidth="1"/>
    <col min="7682" max="7682" width="19.42578125" style="2" customWidth="1"/>
    <col min="7683" max="7683" width="16.85546875" style="2" customWidth="1"/>
    <col min="7684" max="7684" width="19.5703125" style="2" customWidth="1"/>
    <col min="7685" max="7935" width="8.7109375" style="2"/>
    <col min="7936" max="7936" width="13" style="2" customWidth="1"/>
    <col min="7937" max="7937" width="25.7109375" style="2" customWidth="1"/>
    <col min="7938" max="7938" width="19.42578125" style="2" customWidth="1"/>
    <col min="7939" max="7939" width="16.85546875" style="2" customWidth="1"/>
    <col min="7940" max="7940" width="19.5703125" style="2" customWidth="1"/>
    <col min="7941" max="8191" width="8.7109375" style="2"/>
    <col min="8192" max="8192" width="13" style="2" customWidth="1"/>
    <col min="8193" max="8193" width="25.7109375" style="2" customWidth="1"/>
    <col min="8194" max="8194" width="19.42578125" style="2" customWidth="1"/>
    <col min="8195" max="8195" width="16.85546875" style="2" customWidth="1"/>
    <col min="8196" max="8196" width="19.5703125" style="2" customWidth="1"/>
    <col min="8197" max="8447" width="8.7109375" style="2"/>
    <col min="8448" max="8448" width="13" style="2" customWidth="1"/>
    <col min="8449" max="8449" width="25.7109375" style="2" customWidth="1"/>
    <col min="8450" max="8450" width="19.42578125" style="2" customWidth="1"/>
    <col min="8451" max="8451" width="16.85546875" style="2" customWidth="1"/>
    <col min="8452" max="8452" width="19.5703125" style="2" customWidth="1"/>
    <col min="8453" max="8703" width="8.7109375" style="2"/>
    <col min="8704" max="8704" width="13" style="2" customWidth="1"/>
    <col min="8705" max="8705" width="25.7109375" style="2" customWidth="1"/>
    <col min="8706" max="8706" width="19.42578125" style="2" customWidth="1"/>
    <col min="8707" max="8707" width="16.85546875" style="2" customWidth="1"/>
    <col min="8708" max="8708" width="19.5703125" style="2" customWidth="1"/>
    <col min="8709" max="8959" width="8.7109375" style="2"/>
    <col min="8960" max="8960" width="13" style="2" customWidth="1"/>
    <col min="8961" max="8961" width="25.7109375" style="2" customWidth="1"/>
    <col min="8962" max="8962" width="19.42578125" style="2" customWidth="1"/>
    <col min="8963" max="8963" width="16.85546875" style="2" customWidth="1"/>
    <col min="8964" max="8964" width="19.5703125" style="2" customWidth="1"/>
    <col min="8965" max="9215" width="8.7109375" style="2"/>
    <col min="9216" max="9216" width="13" style="2" customWidth="1"/>
    <col min="9217" max="9217" width="25.7109375" style="2" customWidth="1"/>
    <col min="9218" max="9218" width="19.42578125" style="2" customWidth="1"/>
    <col min="9219" max="9219" width="16.85546875" style="2" customWidth="1"/>
    <col min="9220" max="9220" width="19.5703125" style="2" customWidth="1"/>
    <col min="9221" max="9471" width="8.7109375" style="2"/>
    <col min="9472" max="9472" width="13" style="2" customWidth="1"/>
    <col min="9473" max="9473" width="25.7109375" style="2" customWidth="1"/>
    <col min="9474" max="9474" width="19.42578125" style="2" customWidth="1"/>
    <col min="9475" max="9475" width="16.85546875" style="2" customWidth="1"/>
    <col min="9476" max="9476" width="19.5703125" style="2" customWidth="1"/>
    <col min="9477" max="9727" width="8.7109375" style="2"/>
    <col min="9728" max="9728" width="13" style="2" customWidth="1"/>
    <col min="9729" max="9729" width="25.7109375" style="2" customWidth="1"/>
    <col min="9730" max="9730" width="19.42578125" style="2" customWidth="1"/>
    <col min="9731" max="9731" width="16.85546875" style="2" customWidth="1"/>
    <col min="9732" max="9732" width="19.5703125" style="2" customWidth="1"/>
    <col min="9733" max="9983" width="8.7109375" style="2"/>
    <col min="9984" max="9984" width="13" style="2" customWidth="1"/>
    <col min="9985" max="9985" width="25.7109375" style="2" customWidth="1"/>
    <col min="9986" max="9986" width="19.42578125" style="2" customWidth="1"/>
    <col min="9987" max="9987" width="16.85546875" style="2" customWidth="1"/>
    <col min="9988" max="9988" width="19.5703125" style="2" customWidth="1"/>
    <col min="9989" max="10239" width="8.7109375" style="2"/>
    <col min="10240" max="10240" width="13" style="2" customWidth="1"/>
    <col min="10241" max="10241" width="25.7109375" style="2" customWidth="1"/>
    <col min="10242" max="10242" width="19.42578125" style="2" customWidth="1"/>
    <col min="10243" max="10243" width="16.85546875" style="2" customWidth="1"/>
    <col min="10244" max="10244" width="19.5703125" style="2" customWidth="1"/>
    <col min="10245" max="10495" width="8.7109375" style="2"/>
    <col min="10496" max="10496" width="13" style="2" customWidth="1"/>
    <col min="10497" max="10497" width="25.7109375" style="2" customWidth="1"/>
    <col min="10498" max="10498" width="19.42578125" style="2" customWidth="1"/>
    <col min="10499" max="10499" width="16.85546875" style="2" customWidth="1"/>
    <col min="10500" max="10500" width="19.5703125" style="2" customWidth="1"/>
    <col min="10501" max="10751" width="8.7109375" style="2"/>
    <col min="10752" max="10752" width="13" style="2" customWidth="1"/>
    <col min="10753" max="10753" width="25.7109375" style="2" customWidth="1"/>
    <col min="10754" max="10754" width="19.42578125" style="2" customWidth="1"/>
    <col min="10755" max="10755" width="16.85546875" style="2" customWidth="1"/>
    <col min="10756" max="10756" width="19.5703125" style="2" customWidth="1"/>
    <col min="10757" max="11007" width="8.7109375" style="2"/>
    <col min="11008" max="11008" width="13" style="2" customWidth="1"/>
    <col min="11009" max="11009" width="25.7109375" style="2" customWidth="1"/>
    <col min="11010" max="11010" width="19.42578125" style="2" customWidth="1"/>
    <col min="11011" max="11011" width="16.85546875" style="2" customWidth="1"/>
    <col min="11012" max="11012" width="19.5703125" style="2" customWidth="1"/>
    <col min="11013" max="11263" width="8.7109375" style="2"/>
    <col min="11264" max="11264" width="13" style="2" customWidth="1"/>
    <col min="11265" max="11265" width="25.7109375" style="2" customWidth="1"/>
    <col min="11266" max="11266" width="19.42578125" style="2" customWidth="1"/>
    <col min="11267" max="11267" width="16.85546875" style="2" customWidth="1"/>
    <col min="11268" max="11268" width="19.5703125" style="2" customWidth="1"/>
    <col min="11269" max="11519" width="8.7109375" style="2"/>
    <col min="11520" max="11520" width="13" style="2" customWidth="1"/>
    <col min="11521" max="11521" width="25.7109375" style="2" customWidth="1"/>
    <col min="11522" max="11522" width="19.42578125" style="2" customWidth="1"/>
    <col min="11523" max="11523" width="16.85546875" style="2" customWidth="1"/>
    <col min="11524" max="11524" width="19.5703125" style="2" customWidth="1"/>
    <col min="11525" max="11775" width="8.7109375" style="2"/>
    <col min="11776" max="11776" width="13" style="2" customWidth="1"/>
    <col min="11777" max="11777" width="25.7109375" style="2" customWidth="1"/>
    <col min="11778" max="11778" width="19.42578125" style="2" customWidth="1"/>
    <col min="11779" max="11779" width="16.85546875" style="2" customWidth="1"/>
    <col min="11780" max="11780" width="19.5703125" style="2" customWidth="1"/>
    <col min="11781" max="12031" width="8.7109375" style="2"/>
    <col min="12032" max="12032" width="13" style="2" customWidth="1"/>
    <col min="12033" max="12033" width="25.7109375" style="2" customWidth="1"/>
    <col min="12034" max="12034" width="19.42578125" style="2" customWidth="1"/>
    <col min="12035" max="12035" width="16.85546875" style="2" customWidth="1"/>
    <col min="12036" max="12036" width="19.5703125" style="2" customWidth="1"/>
    <col min="12037" max="12287" width="8.7109375" style="2"/>
    <col min="12288" max="12288" width="13" style="2" customWidth="1"/>
    <col min="12289" max="12289" width="25.7109375" style="2" customWidth="1"/>
    <col min="12290" max="12290" width="19.42578125" style="2" customWidth="1"/>
    <col min="12291" max="12291" width="16.85546875" style="2" customWidth="1"/>
    <col min="12292" max="12292" width="19.5703125" style="2" customWidth="1"/>
    <col min="12293" max="12543" width="8.7109375" style="2"/>
    <col min="12544" max="12544" width="13" style="2" customWidth="1"/>
    <col min="12545" max="12545" width="25.7109375" style="2" customWidth="1"/>
    <col min="12546" max="12546" width="19.42578125" style="2" customWidth="1"/>
    <col min="12547" max="12547" width="16.85546875" style="2" customWidth="1"/>
    <col min="12548" max="12548" width="19.5703125" style="2" customWidth="1"/>
    <col min="12549" max="12799" width="8.7109375" style="2"/>
    <col min="12800" max="12800" width="13" style="2" customWidth="1"/>
    <col min="12801" max="12801" width="25.7109375" style="2" customWidth="1"/>
    <col min="12802" max="12802" width="19.42578125" style="2" customWidth="1"/>
    <col min="12803" max="12803" width="16.85546875" style="2" customWidth="1"/>
    <col min="12804" max="12804" width="19.5703125" style="2" customWidth="1"/>
    <col min="12805" max="13055" width="8.7109375" style="2"/>
    <col min="13056" max="13056" width="13" style="2" customWidth="1"/>
    <col min="13057" max="13057" width="25.7109375" style="2" customWidth="1"/>
    <col min="13058" max="13058" width="19.42578125" style="2" customWidth="1"/>
    <col min="13059" max="13059" width="16.85546875" style="2" customWidth="1"/>
    <col min="13060" max="13060" width="19.5703125" style="2" customWidth="1"/>
    <col min="13061" max="13311" width="8.7109375" style="2"/>
    <col min="13312" max="13312" width="13" style="2" customWidth="1"/>
    <col min="13313" max="13313" width="25.7109375" style="2" customWidth="1"/>
    <col min="13314" max="13314" width="19.42578125" style="2" customWidth="1"/>
    <col min="13315" max="13315" width="16.85546875" style="2" customWidth="1"/>
    <col min="13316" max="13316" width="19.5703125" style="2" customWidth="1"/>
    <col min="13317" max="13567" width="8.7109375" style="2"/>
    <col min="13568" max="13568" width="13" style="2" customWidth="1"/>
    <col min="13569" max="13569" width="25.7109375" style="2" customWidth="1"/>
    <col min="13570" max="13570" width="19.42578125" style="2" customWidth="1"/>
    <col min="13571" max="13571" width="16.85546875" style="2" customWidth="1"/>
    <col min="13572" max="13572" width="19.5703125" style="2" customWidth="1"/>
    <col min="13573" max="13823" width="8.7109375" style="2"/>
    <col min="13824" max="13824" width="13" style="2" customWidth="1"/>
    <col min="13825" max="13825" width="25.7109375" style="2" customWidth="1"/>
    <col min="13826" max="13826" width="19.42578125" style="2" customWidth="1"/>
    <col min="13827" max="13827" width="16.85546875" style="2" customWidth="1"/>
    <col min="13828" max="13828" width="19.5703125" style="2" customWidth="1"/>
    <col min="13829" max="14079" width="8.7109375" style="2"/>
    <col min="14080" max="14080" width="13" style="2" customWidth="1"/>
    <col min="14081" max="14081" width="25.7109375" style="2" customWidth="1"/>
    <col min="14082" max="14082" width="19.42578125" style="2" customWidth="1"/>
    <col min="14083" max="14083" width="16.85546875" style="2" customWidth="1"/>
    <col min="14084" max="14084" width="19.5703125" style="2" customWidth="1"/>
    <col min="14085" max="14335" width="8.7109375" style="2"/>
    <col min="14336" max="14336" width="13" style="2" customWidth="1"/>
    <col min="14337" max="14337" width="25.7109375" style="2" customWidth="1"/>
    <col min="14338" max="14338" width="19.42578125" style="2" customWidth="1"/>
    <col min="14339" max="14339" width="16.85546875" style="2" customWidth="1"/>
    <col min="14340" max="14340" width="19.5703125" style="2" customWidth="1"/>
    <col min="14341" max="14591" width="8.7109375" style="2"/>
    <col min="14592" max="14592" width="13" style="2" customWidth="1"/>
    <col min="14593" max="14593" width="25.7109375" style="2" customWidth="1"/>
    <col min="14594" max="14594" width="19.42578125" style="2" customWidth="1"/>
    <col min="14595" max="14595" width="16.85546875" style="2" customWidth="1"/>
    <col min="14596" max="14596" width="19.5703125" style="2" customWidth="1"/>
    <col min="14597" max="14847" width="8.7109375" style="2"/>
    <col min="14848" max="14848" width="13" style="2" customWidth="1"/>
    <col min="14849" max="14849" width="25.7109375" style="2" customWidth="1"/>
    <col min="14850" max="14850" width="19.42578125" style="2" customWidth="1"/>
    <col min="14851" max="14851" width="16.85546875" style="2" customWidth="1"/>
    <col min="14852" max="14852" width="19.5703125" style="2" customWidth="1"/>
    <col min="14853" max="15103" width="8.7109375" style="2"/>
    <col min="15104" max="15104" width="13" style="2" customWidth="1"/>
    <col min="15105" max="15105" width="25.7109375" style="2" customWidth="1"/>
    <col min="15106" max="15106" width="19.42578125" style="2" customWidth="1"/>
    <col min="15107" max="15107" width="16.85546875" style="2" customWidth="1"/>
    <col min="15108" max="15108" width="19.5703125" style="2" customWidth="1"/>
    <col min="15109" max="15359" width="8.7109375" style="2"/>
    <col min="15360" max="15360" width="13" style="2" customWidth="1"/>
    <col min="15361" max="15361" width="25.7109375" style="2" customWidth="1"/>
    <col min="15362" max="15362" width="19.42578125" style="2" customWidth="1"/>
    <col min="15363" max="15363" width="16.85546875" style="2" customWidth="1"/>
    <col min="15364" max="15364" width="19.5703125" style="2" customWidth="1"/>
    <col min="15365" max="15615" width="8.7109375" style="2"/>
    <col min="15616" max="15616" width="13" style="2" customWidth="1"/>
    <col min="15617" max="15617" width="25.7109375" style="2" customWidth="1"/>
    <col min="15618" max="15618" width="19.42578125" style="2" customWidth="1"/>
    <col min="15619" max="15619" width="16.85546875" style="2" customWidth="1"/>
    <col min="15620" max="15620" width="19.5703125" style="2" customWidth="1"/>
    <col min="15621" max="15871" width="8.7109375" style="2"/>
    <col min="15872" max="15872" width="13" style="2" customWidth="1"/>
    <col min="15873" max="15873" width="25.7109375" style="2" customWidth="1"/>
    <col min="15874" max="15874" width="19.42578125" style="2" customWidth="1"/>
    <col min="15875" max="15875" width="16.85546875" style="2" customWidth="1"/>
    <col min="15876" max="15876" width="19.5703125" style="2" customWidth="1"/>
    <col min="15877" max="16127" width="8.7109375" style="2"/>
    <col min="16128" max="16128" width="13" style="2" customWidth="1"/>
    <col min="16129" max="16129" width="25.7109375" style="2" customWidth="1"/>
    <col min="16130" max="16130" width="19.42578125" style="2" customWidth="1"/>
    <col min="16131" max="16131" width="16.85546875" style="2" customWidth="1"/>
    <col min="16132" max="16132" width="19.5703125" style="2" customWidth="1"/>
    <col min="16133" max="16383" width="8.7109375" style="2"/>
    <col min="16384" max="16384" width="8.7109375" style="2" customWidth="1"/>
  </cols>
  <sheetData>
    <row r="1" spans="1:4" ht="18.75" x14ac:dyDescent="0.3">
      <c r="A1" s="4"/>
      <c r="B1" s="4"/>
      <c r="C1" s="185" t="s">
        <v>12</v>
      </c>
      <c r="D1" s="186"/>
    </row>
    <row r="2" spans="1:4" ht="18.75" x14ac:dyDescent="0.3">
      <c r="A2" s="4"/>
      <c r="B2" s="4"/>
      <c r="C2" s="187" t="s">
        <v>0</v>
      </c>
      <c r="D2" s="188"/>
    </row>
    <row r="3" spans="1:4" ht="18.75" x14ac:dyDescent="0.3">
      <c r="A3" s="4"/>
      <c r="B3" s="4"/>
      <c r="C3" s="187" t="s">
        <v>1</v>
      </c>
      <c r="D3" s="188"/>
    </row>
    <row r="4" spans="1:4" ht="18.75" x14ac:dyDescent="0.3">
      <c r="A4" s="4"/>
      <c r="B4" s="4"/>
      <c r="C4" s="187" t="s">
        <v>2</v>
      </c>
      <c r="D4" s="188"/>
    </row>
    <row r="5" spans="1:4" ht="39" customHeight="1" x14ac:dyDescent="0.3">
      <c r="A5" s="4"/>
      <c r="B5" s="4"/>
      <c r="C5" s="187" t="s">
        <v>3</v>
      </c>
      <c r="D5" s="188"/>
    </row>
    <row r="6" spans="1:4" ht="33" customHeight="1" x14ac:dyDescent="0.3">
      <c r="A6" s="4"/>
      <c r="B6" s="4"/>
      <c r="C6" s="178" t="s">
        <v>15</v>
      </c>
      <c r="D6" s="179"/>
    </row>
    <row r="7" spans="1:4" ht="22.5" customHeight="1" x14ac:dyDescent="0.3">
      <c r="A7" s="4"/>
      <c r="B7" s="4"/>
      <c r="C7" s="4"/>
      <c r="D7" s="4"/>
    </row>
    <row r="8" spans="1:4" ht="18.95" customHeight="1" x14ac:dyDescent="0.2">
      <c r="A8" s="181" t="s">
        <v>4</v>
      </c>
      <c r="B8" s="181"/>
      <c r="C8" s="181"/>
      <c r="D8" s="181"/>
    </row>
    <row r="9" spans="1:4" ht="70.5" customHeight="1" x14ac:dyDescent="0.2">
      <c r="A9" s="180" t="s">
        <v>87</v>
      </c>
      <c r="B9" s="180"/>
      <c r="C9" s="180"/>
      <c r="D9" s="180"/>
    </row>
    <row r="10" spans="1:4" s="3" customFormat="1" ht="31.5" customHeight="1" thickBot="1" x14ac:dyDescent="0.35">
      <c r="A10" s="184" t="s">
        <v>98</v>
      </c>
      <c r="B10" s="184"/>
      <c r="C10" s="36">
        <f>C52</f>
        <v>20261363.560000002</v>
      </c>
      <c r="D10" s="21" t="s">
        <v>22</v>
      </c>
    </row>
    <row r="11" spans="1:4" ht="38.1" customHeight="1" x14ac:dyDescent="0.2">
      <c r="A11" s="15" t="s">
        <v>16</v>
      </c>
      <c r="B11" s="182" t="s">
        <v>5</v>
      </c>
      <c r="C11" s="182" t="s">
        <v>20</v>
      </c>
      <c r="D11" s="182" t="s">
        <v>18</v>
      </c>
    </row>
    <row r="12" spans="1:4" ht="36.75" customHeight="1" thickBot="1" x14ac:dyDescent="0.25">
      <c r="A12" s="14" t="s">
        <v>17</v>
      </c>
      <c r="B12" s="183"/>
      <c r="C12" s="183"/>
      <c r="D12" s="183"/>
    </row>
    <row r="13" spans="1:4" ht="19.5" thickBot="1" x14ac:dyDescent="0.35">
      <c r="A13" s="10" t="s">
        <v>6</v>
      </c>
      <c r="B13" s="11" t="s">
        <v>7</v>
      </c>
      <c r="C13" s="12">
        <v>3</v>
      </c>
      <c r="D13" s="19">
        <v>4</v>
      </c>
    </row>
    <row r="14" spans="1:4" s="4" customFormat="1" ht="32.25" customHeight="1" x14ac:dyDescent="0.3">
      <c r="A14" s="43" t="s">
        <v>6</v>
      </c>
      <c r="B14" s="17" t="s">
        <v>60</v>
      </c>
      <c r="C14" s="24">
        <f>SUM(C15:C18)</f>
        <v>716035.25</v>
      </c>
      <c r="D14" s="13"/>
    </row>
    <row r="15" spans="1:4" ht="56.25" x14ac:dyDescent="0.2">
      <c r="A15" s="43" t="s">
        <v>7</v>
      </c>
      <c r="B15" s="22" t="s">
        <v>61</v>
      </c>
      <c r="C15" s="38">
        <f>'№1_Предвар.'!G22</f>
        <v>97200</v>
      </c>
      <c r="D15" s="33" t="s">
        <v>35</v>
      </c>
    </row>
    <row r="16" spans="1:4" ht="28.5" customHeight="1" x14ac:dyDescent="0.2">
      <c r="A16" s="43" t="s">
        <v>23</v>
      </c>
      <c r="B16" s="22" t="s">
        <v>73</v>
      </c>
      <c r="C16" s="38">
        <f>'№1_Предвар.'!G40</f>
        <v>107606.88</v>
      </c>
      <c r="D16" s="33" t="s">
        <v>35</v>
      </c>
    </row>
    <row r="17" spans="1:5" ht="40.5" customHeight="1" x14ac:dyDescent="0.2">
      <c r="A17" s="43" t="s">
        <v>24</v>
      </c>
      <c r="B17" s="51" t="s">
        <v>74</v>
      </c>
      <c r="C17" s="55">
        <f>'№1_Предвар.'!G120</f>
        <v>421228.37</v>
      </c>
      <c r="D17" s="33" t="s">
        <v>35</v>
      </c>
    </row>
    <row r="18" spans="1:5" ht="40.5" customHeight="1" x14ac:dyDescent="0.2">
      <c r="A18" s="43" t="s">
        <v>25</v>
      </c>
      <c r="B18" s="51" t="s">
        <v>84</v>
      </c>
      <c r="C18" s="56">
        <f>ROUND(5000000*1.8/100,2)</f>
        <v>90000</v>
      </c>
      <c r="D18" s="57" t="s">
        <v>976</v>
      </c>
    </row>
    <row r="19" spans="1:5" s="3" customFormat="1" ht="42" customHeight="1" x14ac:dyDescent="0.25">
      <c r="A19" s="43" t="s">
        <v>26</v>
      </c>
      <c r="B19" s="17" t="s">
        <v>78</v>
      </c>
      <c r="C19" s="24">
        <f>SUM(C20:C31)</f>
        <v>6189554.6600000011</v>
      </c>
      <c r="D19" s="13"/>
    </row>
    <row r="20" spans="1:5" s="3" customFormat="1" ht="42" customHeight="1" x14ac:dyDescent="0.25">
      <c r="A20" s="43" t="s">
        <v>27</v>
      </c>
      <c r="B20" s="22" t="s">
        <v>62</v>
      </c>
      <c r="C20" s="38">
        <f>№11_ОСАОН!I63</f>
        <v>382510.92</v>
      </c>
      <c r="D20" s="33" t="s">
        <v>88</v>
      </c>
    </row>
    <row r="21" spans="1:5" s="3" customFormat="1" ht="60" customHeight="1" x14ac:dyDescent="0.25">
      <c r="A21" s="43" t="s">
        <v>28</v>
      </c>
      <c r="B21" s="51" t="s">
        <v>935</v>
      </c>
      <c r="C21" s="55">
        <f>'№10_ОСОКН(изыск.)'!I49</f>
        <v>399958.96</v>
      </c>
      <c r="D21" s="33" t="s">
        <v>39</v>
      </c>
    </row>
    <row r="22" spans="1:5" s="3" customFormat="1" ht="133.5" customHeight="1" x14ac:dyDescent="0.25">
      <c r="A22" s="43" t="s">
        <v>29</v>
      </c>
      <c r="B22" s="16" t="s">
        <v>93</v>
      </c>
      <c r="C22" s="25">
        <f>№2_КНИ!I174</f>
        <v>2101714.9500000002</v>
      </c>
      <c r="D22" s="20" t="s">
        <v>54</v>
      </c>
    </row>
    <row r="23" spans="1:5" s="3" customFormat="1" ht="54" customHeight="1" x14ac:dyDescent="0.25">
      <c r="A23" s="43" t="s">
        <v>30</v>
      </c>
      <c r="B23" s="51" t="s">
        <v>1063</v>
      </c>
      <c r="C23" s="52">
        <f>'№25_инж.обсл.и обмеры'!I63</f>
        <v>766456.93</v>
      </c>
      <c r="D23" s="20" t="s">
        <v>1122</v>
      </c>
    </row>
    <row r="24" spans="1:5" s="3" customFormat="1" ht="40.5" customHeight="1" x14ac:dyDescent="0.25">
      <c r="A24" s="43" t="s">
        <v>31</v>
      </c>
      <c r="B24" s="48" t="s">
        <v>70</v>
      </c>
      <c r="C24" s="49">
        <f>'№8_обслед.грунт.'!G43</f>
        <v>243552.31</v>
      </c>
      <c r="D24" s="20" t="s">
        <v>38</v>
      </c>
    </row>
    <row r="25" spans="1:5" s="3" customFormat="1" ht="40.5" customHeight="1" x14ac:dyDescent="0.25">
      <c r="A25" s="43" t="s">
        <v>32</v>
      </c>
      <c r="B25" s="48" t="s">
        <v>880</v>
      </c>
      <c r="C25" s="52">
        <f>'№7_обслед..живоп.'!I137</f>
        <v>455660.16</v>
      </c>
      <c r="D25" s="20" t="s">
        <v>881</v>
      </c>
    </row>
    <row r="26" spans="1:5" s="3" customFormat="1" ht="30" customHeight="1" x14ac:dyDescent="0.25">
      <c r="A26" s="43" t="s">
        <v>33</v>
      </c>
      <c r="B26" s="34" t="s">
        <v>75</v>
      </c>
      <c r="C26" s="32">
        <f>№3_геодезия!G51</f>
        <v>108987.48</v>
      </c>
      <c r="D26" s="20" t="s">
        <v>55</v>
      </c>
    </row>
    <row r="27" spans="1:5" s="3" customFormat="1" ht="39" customHeight="1" x14ac:dyDescent="0.25">
      <c r="A27" s="43" t="s">
        <v>34</v>
      </c>
      <c r="B27" s="34" t="s">
        <v>79</v>
      </c>
      <c r="C27" s="52">
        <f>№4_геология!G130</f>
        <v>518588.17</v>
      </c>
      <c r="D27" s="20" t="s">
        <v>56</v>
      </c>
    </row>
    <row r="28" spans="1:5" s="3" customFormat="1" ht="39" customHeight="1" x14ac:dyDescent="0.25">
      <c r="A28" s="43" t="s">
        <v>40</v>
      </c>
      <c r="B28" s="34" t="s">
        <v>932</v>
      </c>
      <c r="C28" s="52">
        <f>'№5_гидрометеор.'!G71</f>
        <v>194240.41</v>
      </c>
      <c r="D28" s="20" t="s">
        <v>36</v>
      </c>
    </row>
    <row r="29" spans="1:5" s="3" customFormat="1" ht="39" customHeight="1" x14ac:dyDescent="0.25">
      <c r="A29" s="43" t="s">
        <v>44</v>
      </c>
      <c r="B29" s="34" t="s">
        <v>991</v>
      </c>
      <c r="C29" s="52">
        <f>№24_ИЭИ!G91</f>
        <v>372474.65</v>
      </c>
      <c r="D29" s="20" t="s">
        <v>982</v>
      </c>
    </row>
    <row r="30" spans="1:5" s="3" customFormat="1" ht="39" customHeight="1" x14ac:dyDescent="0.25">
      <c r="A30" s="43" t="s">
        <v>46</v>
      </c>
      <c r="B30" s="34" t="s">
        <v>63</v>
      </c>
      <c r="C30" s="32">
        <f>№6_археология!I43</f>
        <v>376843.52000000002</v>
      </c>
      <c r="D30" s="20" t="s">
        <v>37</v>
      </c>
      <c r="E30" s="37"/>
    </row>
    <row r="31" spans="1:5" s="3" customFormat="1" ht="39" customHeight="1" x14ac:dyDescent="0.25">
      <c r="A31" s="43" t="s">
        <v>47</v>
      </c>
      <c r="B31" s="51" t="s">
        <v>76</v>
      </c>
      <c r="C31" s="52">
        <f>'№9_коррект.ПО'!G53</f>
        <v>268566.2</v>
      </c>
      <c r="D31" s="20" t="s">
        <v>80</v>
      </c>
      <c r="E31" s="37"/>
    </row>
    <row r="32" spans="1:5" s="3" customFormat="1" ht="44.25" customHeight="1" x14ac:dyDescent="0.25">
      <c r="A32" s="43" t="s">
        <v>45</v>
      </c>
      <c r="B32" s="17" t="s">
        <v>96</v>
      </c>
      <c r="C32" s="24">
        <f>SUM(C33:C42)</f>
        <v>6021572.6899999995</v>
      </c>
      <c r="D32" s="13"/>
    </row>
    <row r="33" spans="1:5" s="3" customFormat="1" ht="44.25" customHeight="1" x14ac:dyDescent="0.25">
      <c r="A33" s="43" t="s">
        <v>48</v>
      </c>
      <c r="B33" s="51" t="s">
        <v>1102</v>
      </c>
      <c r="C33" s="55">
        <f>№26_ЭП!I30</f>
        <v>282212.15999999997</v>
      </c>
      <c r="D33" s="20" t="s">
        <v>1121</v>
      </c>
    </row>
    <row r="34" spans="1:5" s="3" customFormat="1" ht="44.25" customHeight="1" x14ac:dyDescent="0.25">
      <c r="A34" s="43" t="s">
        <v>50</v>
      </c>
      <c r="B34" s="51" t="s">
        <v>946</v>
      </c>
      <c r="C34" s="55">
        <f>'№12_дем.матер.'!G35</f>
        <v>343712.27</v>
      </c>
      <c r="D34" s="20" t="s">
        <v>977</v>
      </c>
    </row>
    <row r="35" spans="1:5" s="3" customFormat="1" ht="44.25" customHeight="1" x14ac:dyDescent="0.25">
      <c r="A35" s="43" t="s">
        <v>51</v>
      </c>
      <c r="B35" s="16" t="s">
        <v>82</v>
      </c>
      <c r="C35" s="26">
        <f>'№13_ПД(реставрация)'!I73</f>
        <v>827060.7</v>
      </c>
      <c r="D35" s="20" t="s">
        <v>978</v>
      </c>
    </row>
    <row r="36" spans="1:5" s="3" customFormat="1" ht="44.25" customHeight="1" x14ac:dyDescent="0.25">
      <c r="A36" s="43" t="s">
        <v>52</v>
      </c>
      <c r="B36" s="16" t="s">
        <v>83</v>
      </c>
      <c r="C36" s="27">
        <f>'№14_ПД(приспособл.)'!I47</f>
        <v>2168385.1</v>
      </c>
      <c r="D36" s="20" t="s">
        <v>81</v>
      </c>
    </row>
    <row r="37" spans="1:5" s="3" customFormat="1" ht="44.25" customHeight="1" x14ac:dyDescent="0.25">
      <c r="A37" s="43" t="s">
        <v>53</v>
      </c>
      <c r="B37" s="16" t="s">
        <v>64</v>
      </c>
      <c r="C37" s="29">
        <f>'№17_Техрегл.'!G35</f>
        <v>179169.39</v>
      </c>
      <c r="D37" s="20" t="s">
        <v>58</v>
      </c>
    </row>
    <row r="38" spans="1:5" s="3" customFormat="1" ht="44.25" customHeight="1" x14ac:dyDescent="0.25">
      <c r="A38" s="43" t="s">
        <v>41</v>
      </c>
      <c r="B38" s="22" t="s">
        <v>77</v>
      </c>
      <c r="C38" s="28">
        <f>№18_ТОБЭ!G35</f>
        <v>255956.25</v>
      </c>
      <c r="D38" s="20" t="s">
        <v>59</v>
      </c>
    </row>
    <row r="39" spans="1:5" s="3" customFormat="1" ht="44.25" customHeight="1" x14ac:dyDescent="0.25">
      <c r="A39" s="43" t="s">
        <v>42</v>
      </c>
      <c r="B39" s="51" t="s">
        <v>1119</v>
      </c>
      <c r="C39" s="53">
        <f>№19_СТУ!G35</f>
        <v>748855.72</v>
      </c>
      <c r="D39" s="20" t="s">
        <v>57</v>
      </c>
    </row>
    <row r="40" spans="1:5" s="3" customFormat="1" ht="44.25" customHeight="1" x14ac:dyDescent="0.25">
      <c r="A40" s="43" t="s">
        <v>43</v>
      </c>
      <c r="B40" s="51" t="s">
        <v>89</v>
      </c>
      <c r="C40" s="53">
        <f>№20_ОСОКН!I37</f>
        <v>379204.84</v>
      </c>
      <c r="D40" s="20" t="s">
        <v>85</v>
      </c>
    </row>
    <row r="41" spans="1:5" s="3" customFormat="1" ht="85.5" customHeight="1" x14ac:dyDescent="0.25">
      <c r="A41" s="43" t="s">
        <v>49</v>
      </c>
      <c r="B41" s="51" t="s">
        <v>1123</v>
      </c>
      <c r="C41" s="53">
        <f>'№27_Культ.слой'!I63</f>
        <v>382510.92</v>
      </c>
      <c r="D41" s="20" t="s">
        <v>1124</v>
      </c>
    </row>
    <row r="42" spans="1:5" s="3" customFormat="1" ht="44.25" customHeight="1" x14ac:dyDescent="0.25">
      <c r="A42" s="43" t="s">
        <v>86</v>
      </c>
      <c r="B42" s="51" t="s">
        <v>90</v>
      </c>
      <c r="C42" s="53">
        <f>№22_ВУЦ!G61</f>
        <v>454505.34</v>
      </c>
      <c r="D42" s="20" t="s">
        <v>92</v>
      </c>
    </row>
    <row r="43" spans="1:5" s="3" customFormat="1" ht="44.25" customHeight="1" x14ac:dyDescent="0.25">
      <c r="A43" s="43" t="s">
        <v>94</v>
      </c>
      <c r="B43" s="17" t="s">
        <v>65</v>
      </c>
      <c r="C43" s="24">
        <f>C44+C45</f>
        <v>2232247.2199999997</v>
      </c>
      <c r="D43" s="13"/>
    </row>
    <row r="44" spans="1:5" s="3" customFormat="1" ht="55.5" customHeight="1" x14ac:dyDescent="0.25">
      <c r="A44" s="43" t="s">
        <v>95</v>
      </c>
      <c r="B44" s="16" t="s">
        <v>66</v>
      </c>
      <c r="C44" s="29">
        <f>№21_ГИКЭ!I31</f>
        <v>304300.79999999999</v>
      </c>
      <c r="D44" s="20" t="s">
        <v>91</v>
      </c>
    </row>
    <row r="45" spans="1:5" s="3" customFormat="1" ht="63" customHeight="1" x14ac:dyDescent="0.25">
      <c r="A45" s="43" t="s">
        <v>882</v>
      </c>
      <c r="B45" s="16" t="s">
        <v>69</v>
      </c>
      <c r="C45" s="47" t="str">
        <f>№28_экспертиза!K13</f>
        <v>1 927 946,42</v>
      </c>
      <c r="D45" s="20" t="s">
        <v>1125</v>
      </c>
    </row>
    <row r="46" spans="1:5" s="3" customFormat="1" ht="44.25" customHeight="1" x14ac:dyDescent="0.25">
      <c r="A46" s="43" t="s">
        <v>983</v>
      </c>
      <c r="B46" s="17" t="s">
        <v>97</v>
      </c>
      <c r="C46" s="30">
        <f>'№15_РД(реставрация)'!I87+'№16_РД(приспособл.)'!I43</f>
        <v>4282572.0999999996</v>
      </c>
      <c r="D46" s="20" t="s">
        <v>979</v>
      </c>
    </row>
    <row r="47" spans="1:5" s="3" customFormat="1" ht="44.25" customHeight="1" x14ac:dyDescent="0.25">
      <c r="A47" s="43" t="s">
        <v>984</v>
      </c>
      <c r="B47" s="35" t="s">
        <v>71</v>
      </c>
      <c r="C47" s="44">
        <f>C48</f>
        <v>422100</v>
      </c>
      <c r="D47" s="33"/>
      <c r="E47" s="147"/>
    </row>
    <row r="48" spans="1:5" s="3" customFormat="1" ht="44.25" customHeight="1" x14ac:dyDescent="0.25">
      <c r="A48" s="43" t="s">
        <v>1126</v>
      </c>
      <c r="B48" s="16" t="s">
        <v>19</v>
      </c>
      <c r="C48" s="31">
        <f>№23_КР!I19</f>
        <v>422100</v>
      </c>
      <c r="D48" s="20" t="s">
        <v>980</v>
      </c>
      <c r="E48" s="147"/>
    </row>
    <row r="49" spans="1:5" s="41" customFormat="1" ht="44.25" customHeight="1" x14ac:dyDescent="0.25">
      <c r="A49" s="42" t="s">
        <v>1127</v>
      </c>
      <c r="B49" s="35" t="s">
        <v>67</v>
      </c>
      <c r="C49" s="39">
        <f>C14+C19+C32+C43+C46+C47</f>
        <v>19864081.920000002</v>
      </c>
      <c r="D49" s="40"/>
    </row>
    <row r="50" spans="1:5" s="41" customFormat="1" ht="44.25" customHeight="1" x14ac:dyDescent="0.25">
      <c r="A50" s="43" t="s">
        <v>1128</v>
      </c>
      <c r="B50" s="51" t="s">
        <v>72</v>
      </c>
      <c r="C50" s="53">
        <f>ROUND(C49*2/100,2)</f>
        <v>397281.64</v>
      </c>
      <c r="D50" s="54"/>
      <c r="E50" s="146"/>
    </row>
    <row r="51" spans="1:5" s="3" customFormat="1" ht="44.25" customHeight="1" x14ac:dyDescent="0.25">
      <c r="A51" s="43" t="s">
        <v>1129</v>
      </c>
      <c r="B51" s="22" t="s">
        <v>14</v>
      </c>
      <c r="C51" s="28"/>
      <c r="D51" s="33"/>
      <c r="E51" s="147"/>
    </row>
    <row r="52" spans="1:5" ht="48.75" customHeight="1" x14ac:dyDescent="0.2">
      <c r="A52" s="42" t="s">
        <v>1130</v>
      </c>
      <c r="B52" s="45" t="s">
        <v>68</v>
      </c>
      <c r="C52" s="46">
        <f>C49+C50</f>
        <v>20261363.560000002</v>
      </c>
      <c r="D52" s="46"/>
    </row>
    <row r="53" spans="1:5" ht="18.75" x14ac:dyDescent="0.2">
      <c r="A53" s="6"/>
    </row>
    <row r="54" spans="1:5" ht="18.75" x14ac:dyDescent="0.2">
      <c r="A54" s="177" t="s">
        <v>13</v>
      </c>
      <c r="B54" s="176"/>
      <c r="C54" s="50"/>
    </row>
    <row r="55" spans="1:5" ht="45" customHeight="1" x14ac:dyDescent="0.3">
      <c r="A55" s="176" t="s">
        <v>21</v>
      </c>
      <c r="B55" s="176"/>
      <c r="C55" s="23"/>
      <c r="D55" s="18" t="s">
        <v>8</v>
      </c>
    </row>
    <row r="56" spans="1:5" ht="18.75" x14ac:dyDescent="0.3">
      <c r="A56" s="1"/>
      <c r="B56" s="7"/>
      <c r="C56" s="5"/>
      <c r="D56" s="18"/>
    </row>
    <row r="57" spans="1:5" ht="18.75" x14ac:dyDescent="0.2">
      <c r="A57" s="177" t="s">
        <v>9</v>
      </c>
      <c r="B57" s="176"/>
      <c r="C57" s="9"/>
      <c r="D57" s="9"/>
    </row>
    <row r="58" spans="1:5" ht="21" customHeight="1" x14ac:dyDescent="0.2">
      <c r="A58" s="176" t="s">
        <v>10</v>
      </c>
      <c r="B58" s="176"/>
      <c r="C58" s="176"/>
      <c r="D58" s="8" t="s">
        <v>11</v>
      </c>
    </row>
  </sheetData>
  <mergeCells count="16">
    <mergeCell ref="C1:D1"/>
    <mergeCell ref="C2:D2"/>
    <mergeCell ref="C3:D3"/>
    <mergeCell ref="C4:D4"/>
    <mergeCell ref="C5:D5"/>
    <mergeCell ref="A58:C58"/>
    <mergeCell ref="A54:B54"/>
    <mergeCell ref="A57:B57"/>
    <mergeCell ref="C6:D6"/>
    <mergeCell ref="A9:D9"/>
    <mergeCell ref="A8:D8"/>
    <mergeCell ref="B11:B12"/>
    <mergeCell ref="C11:C12"/>
    <mergeCell ref="D11:D12"/>
    <mergeCell ref="A10:B10"/>
    <mergeCell ref="A55:B55"/>
  </mergeCells>
  <phoneticPr fontId="6" type="noConversion"/>
  <printOptions horizontalCentered="1"/>
  <pageMargins left="0.51181102362204722" right="0.11811023622047245" top="0.78740157480314965" bottom="0.35433070866141736" header="0.31496062992125984" footer="0.31496062992125984"/>
  <pageSetup paperSize="9" scale="70" fitToHeight="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83C7A-FFB9-4F5C-960A-DBC836A90B5C}">
  <dimension ref="A1:G57"/>
  <sheetViews>
    <sheetView topLeftCell="A52" workbookViewId="0">
      <selection activeCell="C57" sqref="C57:G57"/>
    </sheetView>
  </sheetViews>
  <sheetFormatPr defaultColWidth="11.5703125" defaultRowHeight="12.75" x14ac:dyDescent="0.2"/>
  <cols>
    <col min="1" max="1" width="5.7109375" style="107" customWidth="1"/>
    <col min="2" max="2" width="20.42578125" style="107" customWidth="1"/>
    <col min="3" max="3" width="31.7109375" style="107" customWidth="1"/>
    <col min="4" max="4" width="5" style="107" customWidth="1"/>
    <col min="5" max="5" width="4.5703125" style="107" customWidth="1"/>
    <col min="6" max="6" width="15.42578125" style="107" customWidth="1"/>
    <col min="7" max="7" width="11.5703125" style="107"/>
    <col min="8" max="16384" width="11.5703125" style="58"/>
  </cols>
  <sheetData>
    <row r="1" spans="1:7" ht="50.85" customHeight="1" x14ac:dyDescent="0.2">
      <c r="A1" s="190" t="s">
        <v>99</v>
      </c>
      <c r="B1" s="191"/>
      <c r="C1" s="192" t="s">
        <v>934</v>
      </c>
      <c r="D1" s="192"/>
      <c r="E1" s="192"/>
      <c r="F1" s="192"/>
      <c r="G1" s="192"/>
    </row>
    <row r="2" spans="1:7" x14ac:dyDescent="0.2">
      <c r="A2" s="59"/>
      <c r="B2" s="59"/>
      <c r="C2" s="60"/>
      <c r="D2" s="60"/>
      <c r="E2" s="60"/>
      <c r="F2" s="60"/>
      <c r="G2" s="60"/>
    </row>
    <row r="3" spans="1:7" x14ac:dyDescent="0.2">
      <c r="A3" s="59"/>
      <c r="B3" s="59"/>
      <c r="C3" s="60"/>
      <c r="D3" s="60"/>
      <c r="E3" s="60"/>
      <c r="F3" s="60"/>
      <c r="G3" s="60"/>
    </row>
    <row r="4" spans="1:7" x14ac:dyDescent="0.2">
      <c r="B4" s="193" t="s">
        <v>570</v>
      </c>
      <c r="C4" s="193"/>
      <c r="D4" s="193"/>
      <c r="E4" s="193"/>
      <c r="F4" s="193"/>
    </row>
    <row r="5" spans="1:7" x14ac:dyDescent="0.2">
      <c r="B5" s="194" t="s">
        <v>101</v>
      </c>
      <c r="C5" s="194"/>
      <c r="D5" s="194"/>
      <c r="E5" s="194"/>
      <c r="F5" s="194"/>
    </row>
    <row r="6" spans="1:7" x14ac:dyDescent="0.2">
      <c r="B6" s="61"/>
      <c r="C6" s="61"/>
      <c r="D6" s="61"/>
      <c r="E6" s="61"/>
      <c r="F6" s="61"/>
    </row>
    <row r="7" spans="1:7" ht="51" customHeight="1" x14ac:dyDescent="0.2">
      <c r="A7" s="189" t="s">
        <v>102</v>
      </c>
      <c r="B7" s="189"/>
      <c r="C7" s="195" t="s">
        <v>87</v>
      </c>
      <c r="D7" s="195"/>
      <c r="E7" s="195"/>
      <c r="F7" s="195"/>
      <c r="G7" s="195"/>
    </row>
    <row r="8" spans="1:7" x14ac:dyDescent="0.2">
      <c r="C8" s="62"/>
      <c r="D8" s="62"/>
      <c r="E8" s="62"/>
    </row>
    <row r="9" spans="1:7" ht="68.25" customHeight="1" x14ac:dyDescent="0.2">
      <c r="A9" s="189" t="s">
        <v>103</v>
      </c>
      <c r="B9" s="189"/>
      <c r="C9" s="196" t="s">
        <v>76</v>
      </c>
      <c r="D9" s="196"/>
      <c r="E9" s="196"/>
      <c r="F9" s="196"/>
      <c r="G9" s="196"/>
    </row>
    <row r="10" spans="1:7" ht="12.75" customHeight="1" x14ac:dyDescent="0.2">
      <c r="A10" s="63"/>
      <c r="B10" s="63"/>
      <c r="C10" s="64"/>
      <c r="D10" s="64"/>
      <c r="E10" s="64"/>
      <c r="F10" s="64"/>
      <c r="G10" s="64"/>
    </row>
    <row r="11" spans="1:7" ht="39" customHeight="1" x14ac:dyDescent="0.2">
      <c r="A11" s="189" t="s">
        <v>105</v>
      </c>
      <c r="B11" s="189"/>
      <c r="C11" s="189"/>
      <c r="D11" s="189"/>
      <c r="E11" s="189"/>
      <c r="F11" s="189"/>
      <c r="G11" s="189"/>
    </row>
    <row r="12" spans="1:7" ht="12.75" customHeight="1" x14ac:dyDescent="0.2">
      <c r="A12" s="63"/>
      <c r="B12" s="63"/>
      <c r="C12" s="196"/>
      <c r="D12" s="196"/>
      <c r="E12" s="196"/>
      <c r="F12" s="196"/>
      <c r="G12" s="196"/>
    </row>
    <row r="13" spans="1:7" x14ac:dyDescent="0.2">
      <c r="A13" s="189" t="s">
        <v>106</v>
      </c>
      <c r="B13" s="189"/>
      <c r="C13" s="189"/>
      <c r="D13" s="189"/>
      <c r="E13" s="189"/>
      <c r="F13" s="189"/>
      <c r="G13" s="189"/>
    </row>
    <row r="14" spans="1:7" ht="12.75" customHeight="1" x14ac:dyDescent="0.2">
      <c r="A14" s="63"/>
      <c r="B14" s="63"/>
      <c r="C14" s="64"/>
      <c r="D14" s="64"/>
      <c r="E14" s="64"/>
      <c r="F14" s="64"/>
      <c r="G14" s="64"/>
    </row>
    <row r="15" spans="1:7" ht="38.25" customHeight="1" x14ac:dyDescent="0.2">
      <c r="A15" s="197" t="s">
        <v>107</v>
      </c>
      <c r="B15" s="197"/>
      <c r="C15" s="197"/>
      <c r="D15" s="197"/>
      <c r="E15" s="197"/>
      <c r="F15" s="197"/>
      <c r="G15" s="197"/>
    </row>
    <row r="16" spans="1:7" ht="12.75" customHeight="1" x14ac:dyDescent="0.2">
      <c r="A16" s="198" t="s">
        <v>218</v>
      </c>
      <c r="B16" s="198"/>
      <c r="C16" s="198"/>
      <c r="D16" s="198"/>
      <c r="E16" s="198"/>
      <c r="F16" s="198"/>
      <c r="G16" s="198"/>
    </row>
    <row r="17" spans="1:7" ht="127.5" customHeight="1" x14ac:dyDescent="0.2">
      <c r="A17" s="127" t="s">
        <v>108</v>
      </c>
      <c r="B17" s="127" t="s">
        <v>109</v>
      </c>
      <c r="C17" s="127" t="s">
        <v>110</v>
      </c>
      <c r="D17" s="127" t="s">
        <v>111</v>
      </c>
      <c r="E17" s="127" t="s">
        <v>112</v>
      </c>
      <c r="F17" s="127" t="s">
        <v>113</v>
      </c>
      <c r="G17" s="127" t="s">
        <v>114</v>
      </c>
    </row>
    <row r="18" spans="1:7" x14ac:dyDescent="0.2">
      <c r="A18" s="128">
        <v>1</v>
      </c>
      <c r="B18" s="129">
        <v>2</v>
      </c>
      <c r="C18" s="129">
        <v>3</v>
      </c>
      <c r="D18" s="129">
        <v>4</v>
      </c>
      <c r="E18" s="129">
        <v>5</v>
      </c>
      <c r="F18" s="129">
        <v>6</v>
      </c>
      <c r="G18" s="129">
        <v>7</v>
      </c>
    </row>
    <row r="19" spans="1:7" ht="25.5" customHeight="1" x14ac:dyDescent="0.2">
      <c r="A19" s="65" t="s">
        <v>6</v>
      </c>
      <c r="B19" s="66" t="s">
        <v>115</v>
      </c>
      <c r="C19" s="66" t="s">
        <v>571</v>
      </c>
      <c r="D19" s="66"/>
      <c r="E19" s="66"/>
      <c r="F19" s="66"/>
      <c r="G19" s="67"/>
    </row>
    <row r="20" spans="1:7" ht="178.5" customHeight="1" x14ac:dyDescent="0.2">
      <c r="A20" s="85" t="s">
        <v>117</v>
      </c>
      <c r="B20" s="86" t="s">
        <v>572</v>
      </c>
      <c r="C20" s="87" t="s">
        <v>220</v>
      </c>
      <c r="D20" s="87" t="s">
        <v>127</v>
      </c>
      <c r="E20" s="87">
        <v>1</v>
      </c>
      <c r="F20" s="87" t="s">
        <v>573</v>
      </c>
      <c r="G20" s="88">
        <f>ROUND(77.61 * 1 * 540 * 4 * 1.2 * 0.15,2)</f>
        <v>30174.77</v>
      </c>
    </row>
    <row r="21" spans="1:7" ht="15.75" customHeight="1" x14ac:dyDescent="0.2">
      <c r="A21" s="71" t="s">
        <v>129</v>
      </c>
      <c r="B21" s="72" t="s">
        <v>130</v>
      </c>
      <c r="C21" s="72"/>
      <c r="D21" s="72"/>
      <c r="E21" s="72"/>
      <c r="F21" s="72"/>
      <c r="G21" s="73"/>
    </row>
    <row r="22" spans="1:7" ht="51" customHeight="1" x14ac:dyDescent="0.2">
      <c r="A22" s="74" t="s">
        <v>129</v>
      </c>
      <c r="B22" s="75" t="s">
        <v>131</v>
      </c>
      <c r="C22" s="75" t="s">
        <v>132</v>
      </c>
      <c r="D22" s="75"/>
      <c r="E22" s="75"/>
      <c r="F22" s="75"/>
      <c r="G22" s="76"/>
    </row>
    <row r="23" spans="1:7" ht="127.5" customHeight="1" x14ac:dyDescent="0.2">
      <c r="A23" s="74" t="s">
        <v>129</v>
      </c>
      <c r="B23" s="75" t="s">
        <v>135</v>
      </c>
      <c r="C23" s="75" t="s">
        <v>144</v>
      </c>
      <c r="D23" s="75"/>
      <c r="E23" s="75"/>
      <c r="F23" s="75"/>
      <c r="G23" s="76"/>
    </row>
    <row r="24" spans="1:7" ht="165.75" customHeight="1" x14ac:dyDescent="0.2">
      <c r="A24" s="74" t="s">
        <v>129</v>
      </c>
      <c r="B24" s="75" t="s">
        <v>574</v>
      </c>
      <c r="C24" s="75" t="s">
        <v>575</v>
      </c>
      <c r="D24" s="75"/>
      <c r="E24" s="75"/>
      <c r="F24" s="75"/>
      <c r="G24" s="76"/>
    </row>
    <row r="25" spans="1:7" ht="28.5" customHeight="1" x14ac:dyDescent="0.2">
      <c r="A25" s="74" t="s">
        <v>129</v>
      </c>
      <c r="B25" s="77" t="s">
        <v>137</v>
      </c>
      <c r="C25" s="77"/>
      <c r="D25" s="77"/>
      <c r="E25" s="77"/>
      <c r="F25" s="77"/>
      <c r="G25" s="78"/>
    </row>
    <row r="26" spans="1:7" ht="12.75" customHeight="1" x14ac:dyDescent="0.2">
      <c r="A26" s="96" t="s">
        <v>129</v>
      </c>
      <c r="B26" s="97" t="s">
        <v>138</v>
      </c>
      <c r="C26" s="79">
        <v>1</v>
      </c>
      <c r="D26" s="97"/>
      <c r="E26" s="97"/>
      <c r="F26" s="97"/>
      <c r="G26" s="80"/>
    </row>
    <row r="27" spans="1:7" ht="153" customHeight="1" x14ac:dyDescent="0.2">
      <c r="A27" s="90" t="s">
        <v>121</v>
      </c>
      <c r="B27" s="91" t="s">
        <v>576</v>
      </c>
      <c r="C27" s="81" t="s">
        <v>577</v>
      </c>
      <c r="D27" s="81" t="s">
        <v>578</v>
      </c>
      <c r="E27" s="81">
        <v>30</v>
      </c>
      <c r="F27" s="81" t="s">
        <v>579</v>
      </c>
      <c r="G27" s="82">
        <f>ROUND(0.048 * 30 * 540 * 4,2)</f>
        <v>3110.4</v>
      </c>
    </row>
    <row r="28" spans="1:7" ht="15.75" customHeight="1" x14ac:dyDescent="0.2">
      <c r="A28" s="71" t="s">
        <v>129</v>
      </c>
      <c r="B28" s="72" t="s">
        <v>130</v>
      </c>
      <c r="C28" s="72"/>
      <c r="D28" s="72"/>
      <c r="E28" s="72"/>
      <c r="F28" s="72"/>
      <c r="G28" s="73"/>
    </row>
    <row r="29" spans="1:7" ht="51" customHeight="1" x14ac:dyDescent="0.2">
      <c r="A29" s="74" t="s">
        <v>129</v>
      </c>
      <c r="B29" s="75" t="s">
        <v>131</v>
      </c>
      <c r="C29" s="75" t="s">
        <v>132</v>
      </c>
      <c r="D29" s="75"/>
      <c r="E29" s="75"/>
      <c r="F29" s="75"/>
      <c r="G29" s="76"/>
    </row>
    <row r="30" spans="1:7" ht="28.5" customHeight="1" x14ac:dyDescent="0.2">
      <c r="A30" s="74" t="s">
        <v>129</v>
      </c>
      <c r="B30" s="77" t="s">
        <v>137</v>
      </c>
      <c r="C30" s="77"/>
      <c r="D30" s="77"/>
      <c r="E30" s="77"/>
      <c r="F30" s="77"/>
      <c r="G30" s="78"/>
    </row>
    <row r="31" spans="1:7" ht="12.75" customHeight="1" x14ac:dyDescent="0.2">
      <c r="A31" s="96" t="s">
        <v>129</v>
      </c>
      <c r="B31" s="97" t="s">
        <v>138</v>
      </c>
      <c r="C31" s="79">
        <v>1</v>
      </c>
      <c r="D31" s="97"/>
      <c r="E31" s="97"/>
      <c r="F31" s="97"/>
      <c r="G31" s="80"/>
    </row>
    <row r="32" spans="1:7" ht="140.25" customHeight="1" x14ac:dyDescent="0.2">
      <c r="A32" s="206" t="s">
        <v>123</v>
      </c>
      <c r="B32" s="207" t="s">
        <v>580</v>
      </c>
      <c r="C32" s="202" t="s">
        <v>581</v>
      </c>
      <c r="D32" s="202" t="s">
        <v>190</v>
      </c>
      <c r="E32" s="202">
        <v>1</v>
      </c>
      <c r="F32" s="202" t="s">
        <v>582</v>
      </c>
      <c r="G32" s="205">
        <f>ROUND(29.64 * 1 * 540 * 4 * 1.1 * 1.2,2)</f>
        <v>84509.57</v>
      </c>
    </row>
    <row r="33" spans="1:7" ht="51" customHeight="1" x14ac:dyDescent="0.2">
      <c r="A33" s="200"/>
      <c r="B33" s="202"/>
      <c r="C33" s="202"/>
      <c r="D33" s="202"/>
      <c r="E33" s="202"/>
      <c r="F33" s="202"/>
      <c r="G33" s="205"/>
    </row>
    <row r="34" spans="1:7" ht="15.75" customHeight="1" x14ac:dyDescent="0.2">
      <c r="A34" s="71" t="s">
        <v>129</v>
      </c>
      <c r="B34" s="72" t="s">
        <v>130</v>
      </c>
      <c r="C34" s="72"/>
      <c r="D34" s="72"/>
      <c r="E34" s="72"/>
      <c r="F34" s="72"/>
      <c r="G34" s="73"/>
    </row>
    <row r="35" spans="1:7" ht="51" customHeight="1" x14ac:dyDescent="0.2">
      <c r="A35" s="74" t="s">
        <v>129</v>
      </c>
      <c r="B35" s="75" t="s">
        <v>131</v>
      </c>
      <c r="C35" s="75" t="s">
        <v>132</v>
      </c>
      <c r="D35" s="75"/>
      <c r="E35" s="75"/>
      <c r="F35" s="75"/>
      <c r="G35" s="76"/>
    </row>
    <row r="36" spans="1:7" ht="76.5" customHeight="1" x14ac:dyDescent="0.2">
      <c r="A36" s="74" t="s">
        <v>129</v>
      </c>
      <c r="B36" s="75" t="s">
        <v>281</v>
      </c>
      <c r="C36" s="75" t="s">
        <v>282</v>
      </c>
      <c r="D36" s="75"/>
      <c r="E36" s="75"/>
      <c r="F36" s="75"/>
      <c r="G36" s="76"/>
    </row>
    <row r="37" spans="1:7" ht="127.5" customHeight="1" x14ac:dyDescent="0.2">
      <c r="A37" s="74" t="s">
        <v>129</v>
      </c>
      <c r="B37" s="75" t="s">
        <v>135</v>
      </c>
      <c r="C37" s="75" t="s">
        <v>136</v>
      </c>
      <c r="D37" s="75"/>
      <c r="E37" s="75"/>
      <c r="F37" s="75"/>
      <c r="G37" s="76"/>
    </row>
    <row r="38" spans="1:7" ht="28.5" customHeight="1" x14ac:dyDescent="0.2">
      <c r="A38" s="74" t="s">
        <v>129</v>
      </c>
      <c r="B38" s="77" t="s">
        <v>137</v>
      </c>
      <c r="C38" s="77"/>
      <c r="D38" s="77"/>
      <c r="E38" s="77"/>
      <c r="F38" s="77"/>
      <c r="G38" s="78"/>
    </row>
    <row r="39" spans="1:7" ht="12.75" customHeight="1" x14ac:dyDescent="0.2">
      <c r="A39" s="96" t="s">
        <v>129</v>
      </c>
      <c r="B39" s="97" t="s">
        <v>138</v>
      </c>
      <c r="C39" s="79">
        <v>1</v>
      </c>
      <c r="D39" s="97"/>
      <c r="E39" s="97"/>
      <c r="F39" s="97"/>
      <c r="G39" s="80"/>
    </row>
    <row r="40" spans="1:7" ht="51" customHeight="1" x14ac:dyDescent="0.2">
      <c r="A40" s="96" t="s">
        <v>230</v>
      </c>
      <c r="B40" s="83" t="s">
        <v>583</v>
      </c>
      <c r="C40" s="83"/>
      <c r="D40" s="83"/>
      <c r="E40" s="83"/>
      <c r="F40" s="83"/>
      <c r="G40" s="84">
        <f>ROUND((SUM($G$20:$G$32)),2)</f>
        <v>117794.74</v>
      </c>
    </row>
    <row r="41" spans="1:7" ht="51" customHeight="1" x14ac:dyDescent="0.2">
      <c r="A41" s="65" t="s">
        <v>365</v>
      </c>
      <c r="B41" s="66" t="s">
        <v>584</v>
      </c>
      <c r="C41" s="66"/>
      <c r="D41" s="66"/>
      <c r="E41" s="66"/>
      <c r="F41" s="66"/>
      <c r="G41" s="70">
        <f>ROUND(($G$40),2)</f>
        <v>117794.74</v>
      </c>
    </row>
    <row r="42" spans="1:7" ht="25.5" customHeight="1" x14ac:dyDescent="0.2">
      <c r="A42" s="65" t="s">
        <v>7</v>
      </c>
      <c r="B42" s="66" t="s">
        <v>115</v>
      </c>
      <c r="C42" s="66" t="s">
        <v>585</v>
      </c>
      <c r="D42" s="66"/>
      <c r="E42" s="66"/>
      <c r="F42" s="66"/>
      <c r="G42" s="67"/>
    </row>
    <row r="43" spans="1:7" ht="191.25" customHeight="1" x14ac:dyDescent="0.2">
      <c r="A43" s="85" t="s">
        <v>125</v>
      </c>
      <c r="B43" s="86" t="s">
        <v>586</v>
      </c>
      <c r="C43" s="87" t="s">
        <v>587</v>
      </c>
      <c r="D43" s="87" t="s">
        <v>190</v>
      </c>
      <c r="E43" s="87">
        <v>2</v>
      </c>
      <c r="F43" s="87" t="s">
        <v>588</v>
      </c>
      <c r="G43" s="88">
        <f>ROUND(26.44 * 2 * 540 * 4 * 1.1 * 1.2,2)</f>
        <v>150771.46</v>
      </c>
    </row>
    <row r="44" spans="1:7" ht="15.75" customHeight="1" x14ac:dyDescent="0.2">
      <c r="A44" s="71" t="s">
        <v>129</v>
      </c>
      <c r="B44" s="72" t="s">
        <v>130</v>
      </c>
      <c r="C44" s="72"/>
      <c r="D44" s="72"/>
      <c r="E44" s="72"/>
      <c r="F44" s="72"/>
      <c r="G44" s="73"/>
    </row>
    <row r="45" spans="1:7" ht="51" customHeight="1" x14ac:dyDescent="0.2">
      <c r="A45" s="74" t="s">
        <v>129</v>
      </c>
      <c r="B45" s="75" t="s">
        <v>131</v>
      </c>
      <c r="C45" s="75" t="s">
        <v>132</v>
      </c>
      <c r="D45" s="75"/>
      <c r="E45" s="75"/>
      <c r="F45" s="75"/>
      <c r="G45" s="76"/>
    </row>
    <row r="46" spans="1:7" ht="76.5" customHeight="1" x14ac:dyDescent="0.2">
      <c r="A46" s="74" t="s">
        <v>129</v>
      </c>
      <c r="B46" s="75" t="s">
        <v>281</v>
      </c>
      <c r="C46" s="75" t="s">
        <v>282</v>
      </c>
      <c r="D46" s="75"/>
      <c r="E46" s="75"/>
      <c r="F46" s="75"/>
      <c r="G46" s="76"/>
    </row>
    <row r="47" spans="1:7" ht="127.5" customHeight="1" x14ac:dyDescent="0.2">
      <c r="A47" s="74" t="s">
        <v>129</v>
      </c>
      <c r="B47" s="75" t="s">
        <v>135</v>
      </c>
      <c r="C47" s="75" t="s">
        <v>136</v>
      </c>
      <c r="D47" s="75"/>
      <c r="E47" s="75"/>
      <c r="F47" s="75"/>
      <c r="G47" s="76"/>
    </row>
    <row r="48" spans="1:7" ht="28.5" customHeight="1" x14ac:dyDescent="0.2">
      <c r="A48" s="74" t="s">
        <v>129</v>
      </c>
      <c r="B48" s="77" t="s">
        <v>137</v>
      </c>
      <c r="C48" s="77"/>
      <c r="D48" s="77"/>
      <c r="E48" s="77"/>
      <c r="F48" s="77"/>
      <c r="G48" s="78"/>
    </row>
    <row r="49" spans="1:7" ht="12.75" customHeight="1" x14ac:dyDescent="0.2">
      <c r="A49" s="96" t="s">
        <v>129</v>
      </c>
      <c r="B49" s="97" t="s">
        <v>138</v>
      </c>
      <c r="C49" s="79">
        <v>1</v>
      </c>
      <c r="D49" s="97"/>
      <c r="E49" s="97"/>
      <c r="F49" s="97"/>
      <c r="G49" s="80"/>
    </row>
    <row r="50" spans="1:7" ht="38.25" customHeight="1" x14ac:dyDescent="0.2">
      <c r="A50" s="96" t="s">
        <v>139</v>
      </c>
      <c r="B50" s="83" t="s">
        <v>589</v>
      </c>
      <c r="C50" s="83"/>
      <c r="D50" s="83"/>
      <c r="E50" s="83"/>
      <c r="F50" s="83"/>
      <c r="G50" s="84">
        <f>ROUND(($G$43),2)</f>
        <v>150771.46</v>
      </c>
    </row>
    <row r="51" spans="1:7" ht="38.25" customHeight="1" x14ac:dyDescent="0.2">
      <c r="A51" s="65" t="s">
        <v>145</v>
      </c>
      <c r="B51" s="66" t="s">
        <v>590</v>
      </c>
      <c r="C51" s="66"/>
      <c r="D51" s="66"/>
      <c r="E51" s="66"/>
      <c r="F51" s="66"/>
      <c r="G51" s="70">
        <f>ROUND(($G$50),2)</f>
        <v>150771.46</v>
      </c>
    </row>
    <row r="52" spans="1:7" ht="12.75" customHeight="1" x14ac:dyDescent="0.2">
      <c r="A52" s="65" t="s">
        <v>23</v>
      </c>
      <c r="B52" s="66" t="s">
        <v>213</v>
      </c>
      <c r="C52" s="66"/>
      <c r="D52" s="66"/>
      <c r="E52" s="66"/>
      <c r="F52" s="66"/>
      <c r="G52" s="70">
        <f>ROUND(($G$41 + $G$51),2)</f>
        <v>268566.2</v>
      </c>
    </row>
    <row r="53" spans="1:7" ht="12.75" customHeight="1" x14ac:dyDescent="0.2">
      <c r="A53" s="65" t="s">
        <v>24</v>
      </c>
      <c r="B53" s="66" t="s">
        <v>214</v>
      </c>
      <c r="C53" s="66"/>
      <c r="D53" s="66"/>
      <c r="E53" s="66"/>
      <c r="F53" s="66"/>
      <c r="G53" s="70">
        <f>ROUND(($G$52),2)</f>
        <v>268566.2</v>
      </c>
    </row>
    <row r="54" spans="1:7" ht="12.75" customHeight="1" x14ac:dyDescent="0.2"/>
    <row r="57" spans="1:7" s="93" customFormat="1" ht="24.95" customHeight="1" x14ac:dyDescent="0.25">
      <c r="A57" s="189" t="s">
        <v>215</v>
      </c>
      <c r="B57" s="189"/>
      <c r="C57" s="189"/>
      <c r="D57" s="189"/>
      <c r="E57" s="189"/>
      <c r="F57" s="189"/>
      <c r="G57" s="189"/>
    </row>
  </sheetData>
  <mergeCells count="24">
    <mergeCell ref="A57:B57"/>
    <mergeCell ref="C57:G57"/>
    <mergeCell ref="A15:G15"/>
    <mergeCell ref="A16:G16"/>
    <mergeCell ref="A32:A33"/>
    <mergeCell ref="B32:B33"/>
    <mergeCell ref="C32:C33"/>
    <mergeCell ref="D32:D33"/>
    <mergeCell ref="E32:E33"/>
    <mergeCell ref="F32:F33"/>
    <mergeCell ref="G32:G33"/>
    <mergeCell ref="A13:B13"/>
    <mergeCell ref="C13:G13"/>
    <mergeCell ref="A1:B1"/>
    <mergeCell ref="C1:G1"/>
    <mergeCell ref="B4:F4"/>
    <mergeCell ref="B5:F5"/>
    <mergeCell ref="A7:B7"/>
    <mergeCell ref="C7:G7"/>
    <mergeCell ref="A9:B9"/>
    <mergeCell ref="C9:G9"/>
    <mergeCell ref="A11:B11"/>
    <mergeCell ref="C11:G11"/>
    <mergeCell ref="C12:G12"/>
  </mergeCells>
  <pageMargins left="0.39374999999999999" right="0.39374999999999999" top="0.59027777777777779" bottom="0.82777777777777783" header="0.51180555555555562" footer="0.59027777777777779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FFAFF-A6C9-4432-83D5-B143FE1DF3D2}">
  <dimension ref="A1:I52"/>
  <sheetViews>
    <sheetView topLeftCell="A43" workbookViewId="0">
      <selection activeCell="D51" sqref="D51:I51"/>
    </sheetView>
  </sheetViews>
  <sheetFormatPr defaultColWidth="11.5703125" defaultRowHeight="12.75" x14ac:dyDescent="0.2"/>
  <cols>
    <col min="1" max="1" width="3.7109375" style="107" customWidth="1"/>
    <col min="2" max="2" width="10.7109375" style="107" customWidth="1"/>
    <col min="3" max="3" width="15.5703125" style="107" customWidth="1"/>
    <col min="4" max="4" width="4.42578125" style="107" customWidth="1"/>
    <col min="5" max="7" width="9.28515625" style="107" customWidth="1"/>
    <col min="8" max="8" width="19.7109375" style="107" customWidth="1"/>
    <col min="9" max="9" width="14.7109375" style="107" customWidth="1"/>
    <col min="10" max="10" width="19.7109375" style="58" customWidth="1"/>
    <col min="11" max="16384" width="11.5703125" style="58"/>
  </cols>
  <sheetData>
    <row r="1" spans="1:9" ht="25.5" customHeight="1" x14ac:dyDescent="0.2">
      <c r="A1" s="208" t="s">
        <v>99</v>
      </c>
      <c r="B1" s="208"/>
      <c r="C1" s="208"/>
      <c r="D1" s="192" t="s">
        <v>911</v>
      </c>
      <c r="E1" s="192"/>
      <c r="F1" s="192"/>
      <c r="G1" s="192"/>
      <c r="H1" s="192"/>
      <c r="I1" s="192"/>
    </row>
    <row r="2" spans="1:9" x14ac:dyDescent="0.2">
      <c r="A2" s="59"/>
      <c r="B2" s="59"/>
      <c r="C2" s="59"/>
      <c r="D2" s="60"/>
      <c r="E2" s="60"/>
      <c r="F2" s="60"/>
      <c r="G2" s="60"/>
      <c r="H2" s="60"/>
      <c r="I2" s="60"/>
    </row>
    <row r="3" spans="1:9" x14ac:dyDescent="0.2">
      <c r="A3" s="193" t="s">
        <v>591</v>
      </c>
      <c r="B3" s="193"/>
      <c r="C3" s="193"/>
      <c r="D3" s="193"/>
      <c r="E3" s="193"/>
      <c r="F3" s="193"/>
      <c r="G3" s="193"/>
      <c r="H3" s="193"/>
      <c r="I3" s="193"/>
    </row>
    <row r="4" spans="1:9" x14ac:dyDescent="0.2">
      <c r="A4" s="209" t="s">
        <v>101</v>
      </c>
      <c r="B4" s="209"/>
      <c r="C4" s="209"/>
      <c r="D4" s="209"/>
      <c r="E4" s="209"/>
      <c r="F4" s="209"/>
      <c r="G4" s="209"/>
      <c r="H4" s="209"/>
      <c r="I4" s="209"/>
    </row>
    <row r="5" spans="1:9" x14ac:dyDescent="0.2">
      <c r="A5" s="92"/>
      <c r="B5" s="92"/>
      <c r="C5" s="92"/>
      <c r="D5" s="92"/>
      <c r="E5" s="92"/>
      <c r="F5" s="92"/>
      <c r="G5" s="92"/>
      <c r="H5" s="92"/>
      <c r="I5" s="92"/>
    </row>
    <row r="6" spans="1:9" ht="51" customHeight="1" x14ac:dyDescent="0.2">
      <c r="A6" s="210" t="s">
        <v>102</v>
      </c>
      <c r="B6" s="210"/>
      <c r="C6" s="210"/>
      <c r="D6" s="189" t="s">
        <v>87</v>
      </c>
      <c r="E6" s="189"/>
      <c r="F6" s="189"/>
      <c r="G6" s="189"/>
      <c r="H6" s="189"/>
      <c r="I6" s="189"/>
    </row>
    <row r="7" spans="1:9" ht="3.75" customHeight="1" x14ac:dyDescent="0.2">
      <c r="D7" s="59"/>
      <c r="E7" s="59"/>
      <c r="F7" s="59"/>
      <c r="G7" s="59"/>
    </row>
    <row r="8" spans="1:9" ht="66" customHeight="1" x14ac:dyDescent="0.2">
      <c r="A8" s="189" t="s">
        <v>103</v>
      </c>
      <c r="B8" s="189"/>
      <c r="C8" s="189"/>
      <c r="D8" s="196" t="s">
        <v>935</v>
      </c>
      <c r="E8" s="196"/>
      <c r="F8" s="196"/>
      <c r="G8" s="196"/>
      <c r="H8" s="196"/>
      <c r="I8" s="196"/>
    </row>
    <row r="9" spans="1:9" ht="3.95" customHeight="1" x14ac:dyDescent="0.2">
      <c r="A9" s="94"/>
      <c r="B9" s="94"/>
      <c r="C9" s="94"/>
    </row>
    <row r="10" spans="1:9" ht="41.25" customHeight="1" x14ac:dyDescent="0.2">
      <c r="A10" s="189" t="s">
        <v>105</v>
      </c>
      <c r="B10" s="189"/>
      <c r="C10" s="189"/>
      <c r="D10" s="189"/>
      <c r="E10" s="189"/>
      <c r="F10" s="189"/>
      <c r="G10" s="189"/>
      <c r="H10" s="189"/>
      <c r="I10" s="189"/>
    </row>
    <row r="11" spans="1:9" ht="3.95" customHeight="1" x14ac:dyDescent="0.2"/>
    <row r="12" spans="1:9" ht="30" customHeight="1" x14ac:dyDescent="0.2">
      <c r="A12" s="189" t="s">
        <v>106</v>
      </c>
      <c r="B12" s="189"/>
      <c r="C12" s="189"/>
      <c r="D12" s="189"/>
      <c r="E12" s="189"/>
      <c r="F12" s="189"/>
      <c r="G12" s="189"/>
      <c r="H12" s="189"/>
      <c r="I12" s="189"/>
    </row>
    <row r="13" spans="1:9" ht="3.75" customHeight="1" x14ac:dyDescent="0.2">
      <c r="A13" s="94"/>
      <c r="B13" s="94"/>
      <c r="C13" s="94"/>
      <c r="D13" s="63"/>
      <c r="E13" s="63"/>
      <c r="F13" s="63"/>
      <c r="G13" s="63"/>
      <c r="H13" s="94"/>
      <c r="I13" s="94"/>
    </row>
    <row r="14" spans="1:9" ht="12.75" customHeight="1" x14ac:dyDescent="0.2">
      <c r="A14" s="198" t="s">
        <v>218</v>
      </c>
      <c r="B14" s="198"/>
      <c r="C14" s="198"/>
      <c r="D14" s="198"/>
      <c r="E14" s="198"/>
      <c r="F14" s="198"/>
      <c r="G14" s="198"/>
      <c r="H14" s="198"/>
      <c r="I14" s="198"/>
    </row>
    <row r="15" spans="1:9" ht="100.5" customHeight="1" x14ac:dyDescent="0.2">
      <c r="A15" s="137" t="s">
        <v>108</v>
      </c>
      <c r="B15" s="222" t="s">
        <v>109</v>
      </c>
      <c r="C15" s="223"/>
      <c r="D15" s="222" t="s">
        <v>110</v>
      </c>
      <c r="E15" s="224"/>
      <c r="F15" s="224"/>
      <c r="G15" s="223"/>
      <c r="H15" s="138" t="s">
        <v>113</v>
      </c>
      <c r="I15" s="137" t="s">
        <v>114</v>
      </c>
    </row>
    <row r="16" spans="1:9" x14ac:dyDescent="0.2">
      <c r="A16" s="128" t="s">
        <v>6</v>
      </c>
      <c r="B16" s="255">
        <v>2</v>
      </c>
      <c r="C16" s="226"/>
      <c r="D16" s="255">
        <v>3</v>
      </c>
      <c r="E16" s="227"/>
      <c r="F16" s="227"/>
      <c r="G16" s="226"/>
      <c r="H16" s="129">
        <v>4</v>
      </c>
      <c r="I16" s="129">
        <v>5</v>
      </c>
    </row>
    <row r="17" spans="1:9" ht="63.75" customHeight="1" x14ac:dyDescent="0.2">
      <c r="A17" s="65" t="s">
        <v>6</v>
      </c>
      <c r="B17" s="228" t="s">
        <v>115</v>
      </c>
      <c r="C17" s="229"/>
      <c r="D17" s="228" t="s">
        <v>936</v>
      </c>
      <c r="E17" s="230"/>
      <c r="F17" s="230"/>
      <c r="G17" s="229"/>
      <c r="H17" s="66"/>
      <c r="I17" s="67"/>
    </row>
    <row r="18" spans="1:9" ht="183.6" customHeight="1" x14ac:dyDescent="0.2">
      <c r="A18" s="85" t="s">
        <v>117</v>
      </c>
      <c r="B18" s="211" t="s">
        <v>219</v>
      </c>
      <c r="C18" s="212"/>
      <c r="D18" s="213" t="s">
        <v>220</v>
      </c>
      <c r="E18" s="214"/>
      <c r="F18" s="214"/>
      <c r="G18" s="215"/>
      <c r="H18" s="87" t="s">
        <v>763</v>
      </c>
      <c r="I18" s="88">
        <f>ROUND(77.61 * 1 * 540 * 1 * 1.2 * 0.15,2)</f>
        <v>7543.69</v>
      </c>
    </row>
    <row r="19" spans="1:9" ht="15.75" customHeight="1" x14ac:dyDescent="0.2">
      <c r="A19" s="71" t="s">
        <v>129</v>
      </c>
      <c r="B19" s="216" t="s">
        <v>130</v>
      </c>
      <c r="C19" s="217"/>
      <c r="D19" s="216"/>
      <c r="E19" s="218"/>
      <c r="F19" s="218"/>
      <c r="G19" s="217"/>
      <c r="H19" s="72"/>
      <c r="I19" s="73"/>
    </row>
    <row r="20" spans="1:9" ht="12.75" customHeight="1" x14ac:dyDescent="0.2">
      <c r="A20" s="74" t="s">
        <v>129</v>
      </c>
      <c r="B20" s="219" t="s">
        <v>176</v>
      </c>
      <c r="C20" s="220"/>
      <c r="D20" s="219" t="s">
        <v>358</v>
      </c>
      <c r="E20" s="221"/>
      <c r="F20" s="221"/>
      <c r="G20" s="220"/>
      <c r="H20" s="75"/>
      <c r="I20" s="76"/>
    </row>
    <row r="21" spans="1:9" ht="89.25" customHeight="1" x14ac:dyDescent="0.2">
      <c r="A21" s="74" t="s">
        <v>129</v>
      </c>
      <c r="B21" s="219" t="s">
        <v>135</v>
      </c>
      <c r="C21" s="220"/>
      <c r="D21" s="219" t="s">
        <v>144</v>
      </c>
      <c r="E21" s="221"/>
      <c r="F21" s="221"/>
      <c r="G21" s="220"/>
      <c r="H21" s="75"/>
      <c r="I21" s="76"/>
    </row>
    <row r="22" spans="1:9" ht="114.75" customHeight="1" x14ac:dyDescent="0.2">
      <c r="A22" s="96" t="s">
        <v>129</v>
      </c>
      <c r="B22" s="231" t="s">
        <v>574</v>
      </c>
      <c r="C22" s="232"/>
      <c r="D22" s="231" t="s">
        <v>575</v>
      </c>
      <c r="E22" s="256"/>
      <c r="F22" s="256"/>
      <c r="G22" s="232"/>
      <c r="H22" s="97"/>
      <c r="I22" s="80"/>
    </row>
    <row r="23" spans="1:9" ht="196.35" customHeight="1" x14ac:dyDescent="0.2">
      <c r="A23" s="90" t="s">
        <v>121</v>
      </c>
      <c r="B23" s="236" t="s">
        <v>764</v>
      </c>
      <c r="C23" s="237"/>
      <c r="D23" s="238" t="s">
        <v>765</v>
      </c>
      <c r="E23" s="189"/>
      <c r="F23" s="189"/>
      <c r="G23" s="239"/>
      <c r="H23" s="81" t="s">
        <v>766</v>
      </c>
      <c r="I23" s="82">
        <f>ROUND(57.68 * 1 * 540 * 1,2)</f>
        <v>31147.200000000001</v>
      </c>
    </row>
    <row r="24" spans="1:9" ht="15.75" customHeight="1" x14ac:dyDescent="0.2">
      <c r="A24" s="71" t="s">
        <v>129</v>
      </c>
      <c r="B24" s="216" t="s">
        <v>130</v>
      </c>
      <c r="C24" s="217"/>
      <c r="D24" s="216"/>
      <c r="E24" s="218"/>
      <c r="F24" s="218"/>
      <c r="G24" s="217"/>
      <c r="H24" s="72"/>
      <c r="I24" s="73"/>
    </row>
    <row r="25" spans="1:9" ht="12.75" customHeight="1" x14ac:dyDescent="0.2">
      <c r="A25" s="96" t="s">
        <v>129</v>
      </c>
      <c r="B25" s="231" t="s">
        <v>176</v>
      </c>
      <c r="C25" s="232"/>
      <c r="D25" s="231" t="s">
        <v>358</v>
      </c>
      <c r="E25" s="256"/>
      <c r="F25" s="256"/>
      <c r="G25" s="232"/>
      <c r="H25" s="97"/>
      <c r="I25" s="80"/>
    </row>
    <row r="26" spans="1:9" ht="145.35" customHeight="1" x14ac:dyDescent="0.2">
      <c r="A26" s="90" t="s">
        <v>123</v>
      </c>
      <c r="B26" s="236" t="s">
        <v>140</v>
      </c>
      <c r="C26" s="237"/>
      <c r="D26" s="238" t="s">
        <v>767</v>
      </c>
      <c r="E26" s="189"/>
      <c r="F26" s="189"/>
      <c r="G26" s="239"/>
      <c r="H26" s="81" t="s">
        <v>768</v>
      </c>
      <c r="I26" s="82">
        <f>ROUND(0.167 * 24 * 540 * 1,2)</f>
        <v>2164.3200000000002</v>
      </c>
    </row>
    <row r="27" spans="1:9" ht="15.75" customHeight="1" x14ac:dyDescent="0.2">
      <c r="A27" s="71" t="s">
        <v>129</v>
      </c>
      <c r="B27" s="216" t="s">
        <v>130</v>
      </c>
      <c r="C27" s="217"/>
      <c r="D27" s="216"/>
      <c r="E27" s="218"/>
      <c r="F27" s="218"/>
      <c r="G27" s="217"/>
      <c r="H27" s="72"/>
      <c r="I27" s="73"/>
    </row>
    <row r="28" spans="1:9" ht="12.75" customHeight="1" x14ac:dyDescent="0.2">
      <c r="A28" s="96" t="s">
        <v>129</v>
      </c>
      <c r="B28" s="231" t="s">
        <v>176</v>
      </c>
      <c r="C28" s="232"/>
      <c r="D28" s="231" t="s">
        <v>358</v>
      </c>
      <c r="E28" s="256"/>
      <c r="F28" s="256"/>
      <c r="G28" s="232"/>
      <c r="H28" s="97"/>
      <c r="I28" s="80"/>
    </row>
    <row r="29" spans="1:9" ht="196.35" customHeight="1" x14ac:dyDescent="0.2">
      <c r="A29" s="90" t="s">
        <v>230</v>
      </c>
      <c r="B29" s="236" t="s">
        <v>769</v>
      </c>
      <c r="C29" s="237"/>
      <c r="D29" s="238" t="s">
        <v>937</v>
      </c>
      <c r="E29" s="189"/>
      <c r="F29" s="189"/>
      <c r="G29" s="239"/>
      <c r="H29" s="81" t="s">
        <v>938</v>
      </c>
      <c r="I29" s="82">
        <f>ROUND(83.25 * 0.5 * 540 * 1 * 1.2,2)</f>
        <v>26973</v>
      </c>
    </row>
    <row r="30" spans="1:9" ht="15.75" customHeight="1" x14ac:dyDescent="0.2">
      <c r="A30" s="71" t="s">
        <v>129</v>
      </c>
      <c r="B30" s="216" t="s">
        <v>130</v>
      </c>
      <c r="C30" s="217"/>
      <c r="D30" s="216"/>
      <c r="E30" s="218"/>
      <c r="F30" s="218"/>
      <c r="G30" s="217"/>
      <c r="H30" s="72"/>
      <c r="I30" s="73"/>
    </row>
    <row r="31" spans="1:9" ht="12.75" customHeight="1" x14ac:dyDescent="0.2">
      <c r="A31" s="74" t="s">
        <v>129</v>
      </c>
      <c r="B31" s="219" t="s">
        <v>176</v>
      </c>
      <c r="C31" s="220"/>
      <c r="D31" s="219" t="s">
        <v>358</v>
      </c>
      <c r="E31" s="221"/>
      <c r="F31" s="221"/>
      <c r="G31" s="220"/>
      <c r="H31" s="75"/>
      <c r="I31" s="76"/>
    </row>
    <row r="32" spans="1:9" ht="89.25" customHeight="1" x14ac:dyDescent="0.2">
      <c r="A32" s="96" t="s">
        <v>129</v>
      </c>
      <c r="B32" s="231" t="s">
        <v>135</v>
      </c>
      <c r="C32" s="232"/>
      <c r="D32" s="231" t="s">
        <v>144</v>
      </c>
      <c r="E32" s="256"/>
      <c r="F32" s="256"/>
      <c r="G32" s="232"/>
      <c r="H32" s="97"/>
      <c r="I32" s="80"/>
    </row>
    <row r="33" spans="1:9" ht="76.5" customHeight="1" x14ac:dyDescent="0.2">
      <c r="A33" s="96" t="s">
        <v>365</v>
      </c>
      <c r="B33" s="243" t="s">
        <v>939</v>
      </c>
      <c r="C33" s="244"/>
      <c r="D33" s="243"/>
      <c r="E33" s="245"/>
      <c r="F33" s="245"/>
      <c r="G33" s="244"/>
      <c r="H33" s="83"/>
      <c r="I33" s="84">
        <f>ROUND((SUM($I$18:$I$29)),2)</f>
        <v>67828.210000000006</v>
      </c>
    </row>
    <row r="34" spans="1:9" ht="76.5" customHeight="1" x14ac:dyDescent="0.2">
      <c r="A34" s="65" t="s">
        <v>367</v>
      </c>
      <c r="B34" s="228" t="s">
        <v>940</v>
      </c>
      <c r="C34" s="229"/>
      <c r="D34" s="228"/>
      <c r="E34" s="230"/>
      <c r="F34" s="230"/>
      <c r="G34" s="229"/>
      <c r="H34" s="66"/>
      <c r="I34" s="70">
        <f>ROUND(($I$33),2)</f>
        <v>67828.210000000006</v>
      </c>
    </row>
    <row r="35" spans="1:9" ht="25.5" customHeight="1" x14ac:dyDescent="0.2">
      <c r="A35" s="65" t="s">
        <v>7</v>
      </c>
      <c r="B35" s="228" t="s">
        <v>115</v>
      </c>
      <c r="C35" s="229"/>
      <c r="D35" s="228" t="s">
        <v>793</v>
      </c>
      <c r="E35" s="230"/>
      <c r="F35" s="230"/>
      <c r="G35" s="229"/>
      <c r="H35" s="66"/>
      <c r="I35" s="67"/>
    </row>
    <row r="36" spans="1:9" ht="38.25" customHeight="1" x14ac:dyDescent="0.2">
      <c r="A36" s="65" t="s">
        <v>125</v>
      </c>
      <c r="B36" s="246" t="s">
        <v>794</v>
      </c>
      <c r="C36" s="247"/>
      <c r="D36" s="246" t="s">
        <v>795</v>
      </c>
      <c r="E36" s="248"/>
      <c r="F36" s="248"/>
      <c r="G36" s="247"/>
      <c r="H36" s="68" t="s">
        <v>796</v>
      </c>
      <c r="I36" s="69">
        <v>11664</v>
      </c>
    </row>
    <row r="37" spans="1:9" ht="196.35" customHeight="1" x14ac:dyDescent="0.2">
      <c r="A37" s="85" t="s">
        <v>139</v>
      </c>
      <c r="B37" s="211" t="s">
        <v>299</v>
      </c>
      <c r="C37" s="212"/>
      <c r="D37" s="213" t="s">
        <v>941</v>
      </c>
      <c r="E37" s="214"/>
      <c r="F37" s="214"/>
      <c r="G37" s="215"/>
      <c r="H37" s="87" t="s">
        <v>942</v>
      </c>
      <c r="I37" s="88">
        <f>ROUND(39.12 * 0.4 * 540 * 1 * 1.2,2)</f>
        <v>10139.9</v>
      </c>
    </row>
    <row r="38" spans="1:9" ht="15.75" customHeight="1" x14ac:dyDescent="0.2">
      <c r="A38" s="71" t="s">
        <v>129</v>
      </c>
      <c r="B38" s="216" t="s">
        <v>130</v>
      </c>
      <c r="C38" s="217"/>
      <c r="D38" s="216"/>
      <c r="E38" s="218"/>
      <c r="F38" s="218"/>
      <c r="G38" s="217"/>
      <c r="H38" s="72"/>
      <c r="I38" s="73"/>
    </row>
    <row r="39" spans="1:9" ht="12.75" customHeight="1" x14ac:dyDescent="0.2">
      <c r="A39" s="74" t="s">
        <v>129</v>
      </c>
      <c r="B39" s="219" t="s">
        <v>176</v>
      </c>
      <c r="C39" s="220"/>
      <c r="D39" s="219" t="s">
        <v>358</v>
      </c>
      <c r="E39" s="221"/>
      <c r="F39" s="221"/>
      <c r="G39" s="220"/>
      <c r="H39" s="75"/>
      <c r="I39" s="76"/>
    </row>
    <row r="40" spans="1:9" ht="89.25" customHeight="1" x14ac:dyDescent="0.2">
      <c r="A40" s="96" t="s">
        <v>129</v>
      </c>
      <c r="B40" s="231" t="s">
        <v>135</v>
      </c>
      <c r="C40" s="232"/>
      <c r="D40" s="231" t="s">
        <v>144</v>
      </c>
      <c r="E40" s="256"/>
      <c r="F40" s="256"/>
      <c r="G40" s="232"/>
      <c r="H40" s="97"/>
      <c r="I40" s="80"/>
    </row>
    <row r="41" spans="1:9" ht="196.35" customHeight="1" x14ac:dyDescent="0.2">
      <c r="A41" s="90" t="s">
        <v>145</v>
      </c>
      <c r="B41" s="236" t="s">
        <v>283</v>
      </c>
      <c r="C41" s="237"/>
      <c r="D41" s="238" t="s">
        <v>943</v>
      </c>
      <c r="E41" s="189"/>
      <c r="F41" s="189"/>
      <c r="G41" s="239"/>
      <c r="H41" s="81" t="s">
        <v>944</v>
      </c>
      <c r="I41" s="82">
        <f>ROUND(53.28 * 0.3 * 540 * 1 * 1.2,2)</f>
        <v>10357.629999999999</v>
      </c>
    </row>
    <row r="42" spans="1:9" ht="15.75" customHeight="1" x14ac:dyDescent="0.2">
      <c r="A42" s="71" t="s">
        <v>129</v>
      </c>
      <c r="B42" s="216" t="s">
        <v>130</v>
      </c>
      <c r="C42" s="217"/>
      <c r="D42" s="216"/>
      <c r="E42" s="218"/>
      <c r="F42" s="218"/>
      <c r="G42" s="217"/>
      <c r="H42" s="72"/>
      <c r="I42" s="73"/>
    </row>
    <row r="43" spans="1:9" ht="12.75" customHeight="1" x14ac:dyDescent="0.2">
      <c r="A43" s="74" t="s">
        <v>129</v>
      </c>
      <c r="B43" s="219" t="s">
        <v>176</v>
      </c>
      <c r="C43" s="220"/>
      <c r="D43" s="219" t="s">
        <v>358</v>
      </c>
      <c r="E43" s="221"/>
      <c r="F43" s="221"/>
      <c r="G43" s="220"/>
      <c r="H43" s="75"/>
      <c r="I43" s="76"/>
    </row>
    <row r="44" spans="1:9" ht="89.25" customHeight="1" x14ac:dyDescent="0.2">
      <c r="A44" s="96" t="s">
        <v>129</v>
      </c>
      <c r="B44" s="231" t="s">
        <v>135</v>
      </c>
      <c r="C44" s="232"/>
      <c r="D44" s="231" t="s">
        <v>144</v>
      </c>
      <c r="E44" s="256"/>
      <c r="F44" s="256"/>
      <c r="G44" s="232"/>
      <c r="H44" s="97"/>
      <c r="I44" s="80"/>
    </row>
    <row r="45" spans="1:9" ht="38.25" customHeight="1" x14ac:dyDescent="0.2">
      <c r="A45" s="96" t="s">
        <v>147</v>
      </c>
      <c r="B45" s="243" t="s">
        <v>802</v>
      </c>
      <c r="C45" s="244"/>
      <c r="D45" s="243"/>
      <c r="E45" s="245"/>
      <c r="F45" s="245"/>
      <c r="G45" s="244"/>
      <c r="H45" s="83"/>
      <c r="I45" s="84">
        <f>ROUND((SUM($I$36:$I$41)),2)</f>
        <v>32161.53</v>
      </c>
    </row>
    <row r="46" spans="1:9" ht="38.25" customHeight="1" x14ac:dyDescent="0.2">
      <c r="A46" s="65" t="s">
        <v>240</v>
      </c>
      <c r="B46" s="228" t="s">
        <v>803</v>
      </c>
      <c r="C46" s="229"/>
      <c r="D46" s="228"/>
      <c r="E46" s="230"/>
      <c r="F46" s="230"/>
      <c r="G46" s="229"/>
      <c r="H46" s="66"/>
      <c r="I46" s="70">
        <f>ROUND(($I$45),2)</f>
        <v>32161.53</v>
      </c>
    </row>
    <row r="47" spans="1:9" ht="12.75" customHeight="1" x14ac:dyDescent="0.2">
      <c r="A47" s="65" t="s">
        <v>23</v>
      </c>
      <c r="B47" s="228" t="s">
        <v>213</v>
      </c>
      <c r="C47" s="229"/>
      <c r="D47" s="228"/>
      <c r="E47" s="230"/>
      <c r="F47" s="230"/>
      <c r="G47" s="229"/>
      <c r="H47" s="66"/>
      <c r="I47" s="70">
        <f>ROUND(($I$34 + $I$46),2)</f>
        <v>99989.74</v>
      </c>
    </row>
    <row r="48" spans="1:9" ht="38.25" customHeight="1" x14ac:dyDescent="0.2">
      <c r="A48" s="65" t="s">
        <v>24</v>
      </c>
      <c r="B48" s="246" t="s">
        <v>774</v>
      </c>
      <c r="C48" s="247"/>
      <c r="D48" s="246" t="s">
        <v>775</v>
      </c>
      <c r="E48" s="248"/>
      <c r="F48" s="248"/>
      <c r="G48" s="247"/>
      <c r="H48" s="68" t="s">
        <v>804</v>
      </c>
      <c r="I48" s="69">
        <f>ROUND(($I$47) * 4 * 1,2)</f>
        <v>399958.96</v>
      </c>
    </row>
    <row r="49" spans="1:9" ht="12.75" customHeight="1" x14ac:dyDescent="0.2">
      <c r="A49" s="65" t="s">
        <v>25</v>
      </c>
      <c r="B49" s="228" t="s">
        <v>214</v>
      </c>
      <c r="C49" s="229"/>
      <c r="D49" s="228"/>
      <c r="E49" s="230"/>
      <c r="F49" s="230"/>
      <c r="G49" s="229"/>
      <c r="H49" s="66"/>
      <c r="I49" s="70">
        <f>ROUND(($I$48),2)</f>
        <v>399958.96</v>
      </c>
    </row>
    <row r="50" spans="1:9" ht="12.75" customHeight="1" x14ac:dyDescent="0.2"/>
    <row r="51" spans="1:9" s="93" customFormat="1" ht="24.95" customHeight="1" x14ac:dyDescent="0.25">
      <c r="A51" s="189" t="s">
        <v>215</v>
      </c>
      <c r="B51" s="189"/>
      <c r="C51" s="189"/>
      <c r="D51" s="189"/>
      <c r="E51" s="189"/>
      <c r="F51" s="189"/>
      <c r="G51" s="189"/>
      <c r="H51" s="189"/>
      <c r="I51" s="189"/>
    </row>
    <row r="52" spans="1:9" ht="12.75" customHeight="1" x14ac:dyDescent="0.2">
      <c r="D52" s="95"/>
    </row>
  </sheetData>
  <mergeCells count="85">
    <mergeCell ref="B48:C48"/>
    <mergeCell ref="D48:G48"/>
    <mergeCell ref="B49:C49"/>
    <mergeCell ref="D49:G49"/>
    <mergeCell ref="A51:C51"/>
    <mergeCell ref="D51:I51"/>
    <mergeCell ref="B45:C45"/>
    <mergeCell ref="D45:G45"/>
    <mergeCell ref="B46:C46"/>
    <mergeCell ref="D46:G46"/>
    <mergeCell ref="B47:C47"/>
    <mergeCell ref="D47:G47"/>
    <mergeCell ref="B42:C42"/>
    <mergeCell ref="D42:G42"/>
    <mergeCell ref="B43:C43"/>
    <mergeCell ref="D43:G43"/>
    <mergeCell ref="B44:C44"/>
    <mergeCell ref="D44:G44"/>
    <mergeCell ref="B39:C39"/>
    <mergeCell ref="D39:G39"/>
    <mergeCell ref="B40:C40"/>
    <mergeCell ref="D40:G40"/>
    <mergeCell ref="B41:C41"/>
    <mergeCell ref="D41:G41"/>
    <mergeCell ref="B36:C36"/>
    <mergeCell ref="D36:G36"/>
    <mergeCell ref="B37:C37"/>
    <mergeCell ref="D37:G37"/>
    <mergeCell ref="B38:C38"/>
    <mergeCell ref="D38:G38"/>
    <mergeCell ref="B33:C33"/>
    <mergeCell ref="D33:G33"/>
    <mergeCell ref="B34:C34"/>
    <mergeCell ref="D34:G34"/>
    <mergeCell ref="B35:C35"/>
    <mergeCell ref="D35:G35"/>
    <mergeCell ref="B30:C30"/>
    <mergeCell ref="D30:G30"/>
    <mergeCell ref="B31:C31"/>
    <mergeCell ref="D31:G31"/>
    <mergeCell ref="B32:C32"/>
    <mergeCell ref="D32:G32"/>
    <mergeCell ref="B27:C27"/>
    <mergeCell ref="D27:G27"/>
    <mergeCell ref="B28:C28"/>
    <mergeCell ref="D28:G28"/>
    <mergeCell ref="B29:C29"/>
    <mergeCell ref="D29:G29"/>
    <mergeCell ref="B24:C24"/>
    <mergeCell ref="D24:G24"/>
    <mergeCell ref="B25:C25"/>
    <mergeCell ref="D25:G25"/>
    <mergeCell ref="B26:C26"/>
    <mergeCell ref="D26:G26"/>
    <mergeCell ref="B21:C21"/>
    <mergeCell ref="D21:G21"/>
    <mergeCell ref="B22:C22"/>
    <mergeCell ref="D22:G22"/>
    <mergeCell ref="B23:C23"/>
    <mergeCell ref="D23:G23"/>
    <mergeCell ref="B18:C18"/>
    <mergeCell ref="D18:G18"/>
    <mergeCell ref="B19:C19"/>
    <mergeCell ref="D19:G19"/>
    <mergeCell ref="B20:C20"/>
    <mergeCell ref="D20:G20"/>
    <mergeCell ref="B17:C17"/>
    <mergeCell ref="D17:G17"/>
    <mergeCell ref="A8:C8"/>
    <mergeCell ref="D8:I8"/>
    <mergeCell ref="A10:C10"/>
    <mergeCell ref="D10:I10"/>
    <mergeCell ref="A12:C12"/>
    <mergeCell ref="D12:I12"/>
    <mergeCell ref="A14:I14"/>
    <mergeCell ref="B15:C15"/>
    <mergeCell ref="D15:G15"/>
    <mergeCell ref="B16:C16"/>
    <mergeCell ref="D16:G16"/>
    <mergeCell ref="A1:C1"/>
    <mergeCell ref="D1:I1"/>
    <mergeCell ref="A3:I3"/>
    <mergeCell ref="A4:I4"/>
    <mergeCell ref="A6:C6"/>
    <mergeCell ref="D6:I6"/>
  </mergeCells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08C5F-9C30-426B-B570-1C0B54CE06C1}">
  <dimension ref="A1:I66"/>
  <sheetViews>
    <sheetView workbookViewId="0">
      <selection activeCell="D65" sqref="D65:I65"/>
    </sheetView>
  </sheetViews>
  <sheetFormatPr defaultColWidth="11.5703125" defaultRowHeight="12.75" x14ac:dyDescent="0.2"/>
  <cols>
    <col min="1" max="1" width="3.7109375" style="107" customWidth="1"/>
    <col min="2" max="2" width="10.7109375" style="107" customWidth="1"/>
    <col min="3" max="3" width="15.5703125" style="107" customWidth="1"/>
    <col min="4" max="4" width="4.42578125" style="107" customWidth="1"/>
    <col min="5" max="7" width="9.28515625" style="107" customWidth="1"/>
    <col min="8" max="8" width="19.7109375" style="107" customWidth="1"/>
    <col min="9" max="9" width="14.7109375" style="107" customWidth="1"/>
    <col min="10" max="10" width="19.7109375" style="58" customWidth="1"/>
    <col min="11" max="16384" width="11.5703125" style="58"/>
  </cols>
  <sheetData>
    <row r="1" spans="1:9" ht="25.5" customHeight="1" x14ac:dyDescent="0.2">
      <c r="A1" s="208" t="s">
        <v>16</v>
      </c>
      <c r="B1" s="208"/>
      <c r="C1" s="208"/>
      <c r="D1" s="192" t="s">
        <v>911</v>
      </c>
      <c r="E1" s="192"/>
      <c r="F1" s="192"/>
      <c r="G1" s="192"/>
      <c r="H1" s="192"/>
      <c r="I1" s="192"/>
    </row>
    <row r="2" spans="1:9" x14ac:dyDescent="0.2">
      <c r="A2" s="59"/>
      <c r="B2" s="59"/>
      <c r="C2" s="59"/>
      <c r="D2" s="60"/>
      <c r="E2" s="60"/>
      <c r="F2" s="60"/>
      <c r="G2" s="60"/>
      <c r="H2" s="60"/>
      <c r="I2" s="60"/>
    </row>
    <row r="3" spans="1:9" x14ac:dyDescent="0.2">
      <c r="A3" s="193" t="s">
        <v>621</v>
      </c>
      <c r="B3" s="193"/>
      <c r="C3" s="193"/>
      <c r="D3" s="193"/>
      <c r="E3" s="193"/>
      <c r="F3" s="193"/>
      <c r="G3" s="193"/>
      <c r="H3" s="193"/>
      <c r="I3" s="193"/>
    </row>
    <row r="4" spans="1:9" x14ac:dyDescent="0.2">
      <c r="A4" s="209" t="s">
        <v>101</v>
      </c>
      <c r="B4" s="209"/>
      <c r="C4" s="209"/>
      <c r="D4" s="209"/>
      <c r="E4" s="209"/>
      <c r="F4" s="209"/>
      <c r="G4" s="209"/>
      <c r="H4" s="209"/>
      <c r="I4" s="209"/>
    </row>
    <row r="5" spans="1:9" x14ac:dyDescent="0.2">
      <c r="A5" s="92"/>
      <c r="B5" s="92"/>
      <c r="C5" s="92"/>
      <c r="D5" s="92"/>
      <c r="E5" s="92"/>
      <c r="F5" s="92"/>
      <c r="G5" s="92"/>
      <c r="H5" s="92"/>
      <c r="I5" s="92"/>
    </row>
    <row r="6" spans="1:9" ht="51" customHeight="1" x14ac:dyDescent="0.2">
      <c r="A6" s="210" t="s">
        <v>102</v>
      </c>
      <c r="B6" s="210"/>
      <c r="C6" s="210"/>
      <c r="D6" s="189" t="s">
        <v>87</v>
      </c>
      <c r="E6" s="189"/>
      <c r="F6" s="189"/>
      <c r="G6" s="189"/>
      <c r="H6" s="189"/>
      <c r="I6" s="189"/>
    </row>
    <row r="7" spans="1:9" ht="3.75" customHeight="1" x14ac:dyDescent="0.2">
      <c r="D7" s="59"/>
      <c r="E7" s="59"/>
      <c r="F7" s="59"/>
      <c r="G7" s="59"/>
    </row>
    <row r="8" spans="1:9" ht="66" customHeight="1" x14ac:dyDescent="0.2">
      <c r="A8" s="189" t="s">
        <v>103</v>
      </c>
      <c r="B8" s="189"/>
      <c r="C8" s="189"/>
      <c r="D8" s="196" t="s">
        <v>62</v>
      </c>
      <c r="E8" s="196"/>
      <c r="F8" s="196"/>
      <c r="G8" s="196"/>
      <c r="H8" s="196"/>
      <c r="I8" s="196"/>
    </row>
    <row r="9" spans="1:9" ht="3.95" customHeight="1" x14ac:dyDescent="0.2">
      <c r="A9" s="94"/>
      <c r="B9" s="94"/>
      <c r="C9" s="94"/>
    </row>
    <row r="10" spans="1:9" ht="41.25" customHeight="1" x14ac:dyDescent="0.2">
      <c r="A10" s="189" t="s">
        <v>105</v>
      </c>
      <c r="B10" s="189"/>
      <c r="C10" s="189"/>
      <c r="D10" s="189"/>
      <c r="E10" s="189"/>
      <c r="F10" s="189"/>
      <c r="G10" s="189"/>
      <c r="H10" s="189"/>
      <c r="I10" s="189"/>
    </row>
    <row r="11" spans="1:9" ht="3.95" customHeight="1" x14ac:dyDescent="0.2"/>
    <row r="12" spans="1:9" ht="30" customHeight="1" x14ac:dyDescent="0.2">
      <c r="A12" s="189" t="s">
        <v>106</v>
      </c>
      <c r="B12" s="189"/>
      <c r="C12" s="189"/>
      <c r="D12" s="189"/>
      <c r="E12" s="189"/>
      <c r="F12" s="189"/>
      <c r="G12" s="189"/>
      <c r="H12" s="189"/>
      <c r="I12" s="189"/>
    </row>
    <row r="13" spans="1:9" ht="3.75" customHeight="1" x14ac:dyDescent="0.2">
      <c r="A13" s="94"/>
      <c r="B13" s="94"/>
      <c r="C13" s="94"/>
      <c r="D13" s="63"/>
      <c r="E13" s="63"/>
      <c r="F13" s="63"/>
      <c r="G13" s="63"/>
      <c r="H13" s="94"/>
      <c r="I13" s="94"/>
    </row>
    <row r="14" spans="1:9" ht="12.75" customHeight="1" x14ac:dyDescent="0.2">
      <c r="A14" s="198" t="s">
        <v>218</v>
      </c>
      <c r="B14" s="198"/>
      <c r="C14" s="198"/>
      <c r="D14" s="198"/>
      <c r="E14" s="198"/>
      <c r="F14" s="198"/>
      <c r="G14" s="198"/>
      <c r="H14" s="198"/>
      <c r="I14" s="198"/>
    </row>
    <row r="15" spans="1:9" ht="100.5" customHeight="1" x14ac:dyDescent="0.2">
      <c r="A15" s="137" t="s">
        <v>108</v>
      </c>
      <c r="B15" s="222" t="s">
        <v>109</v>
      </c>
      <c r="C15" s="223"/>
      <c r="D15" s="222" t="s">
        <v>110</v>
      </c>
      <c r="E15" s="224"/>
      <c r="F15" s="224"/>
      <c r="G15" s="223"/>
      <c r="H15" s="138" t="s">
        <v>113</v>
      </c>
      <c r="I15" s="137" t="s">
        <v>114</v>
      </c>
    </row>
    <row r="16" spans="1:9" x14ac:dyDescent="0.2">
      <c r="A16" s="128" t="s">
        <v>6</v>
      </c>
      <c r="B16" s="255">
        <v>2</v>
      </c>
      <c r="C16" s="226"/>
      <c r="D16" s="255">
        <v>3</v>
      </c>
      <c r="E16" s="227"/>
      <c r="F16" s="227"/>
      <c r="G16" s="226"/>
      <c r="H16" s="129">
        <v>4</v>
      </c>
      <c r="I16" s="129">
        <v>5</v>
      </c>
    </row>
    <row r="17" spans="1:9" ht="51" customHeight="1" x14ac:dyDescent="0.2">
      <c r="A17" s="65" t="s">
        <v>6</v>
      </c>
      <c r="B17" s="228" t="s">
        <v>115</v>
      </c>
      <c r="C17" s="229"/>
      <c r="D17" s="228" t="s">
        <v>778</v>
      </c>
      <c r="E17" s="230"/>
      <c r="F17" s="230"/>
      <c r="G17" s="229"/>
      <c r="H17" s="66"/>
      <c r="I17" s="67"/>
    </row>
    <row r="18" spans="1:9" ht="183.6" customHeight="1" x14ac:dyDescent="0.2">
      <c r="A18" s="85" t="s">
        <v>117</v>
      </c>
      <c r="B18" s="211" t="s">
        <v>779</v>
      </c>
      <c r="C18" s="212"/>
      <c r="D18" s="213" t="s">
        <v>780</v>
      </c>
      <c r="E18" s="214"/>
      <c r="F18" s="214"/>
      <c r="G18" s="215"/>
      <c r="H18" s="87" t="s">
        <v>781</v>
      </c>
      <c r="I18" s="88">
        <f>ROUND(58.06 * 1 * 540 * 1 * 1.1,2)</f>
        <v>34487.64</v>
      </c>
    </row>
    <row r="19" spans="1:9" ht="15.75" customHeight="1" x14ac:dyDescent="0.2">
      <c r="A19" s="71" t="s">
        <v>129</v>
      </c>
      <c r="B19" s="216" t="s">
        <v>130</v>
      </c>
      <c r="C19" s="217"/>
      <c r="D19" s="216"/>
      <c r="E19" s="218"/>
      <c r="F19" s="218"/>
      <c r="G19" s="217"/>
      <c r="H19" s="72"/>
      <c r="I19" s="73"/>
    </row>
    <row r="20" spans="1:9" ht="12.75" customHeight="1" x14ac:dyDescent="0.2">
      <c r="A20" s="74" t="s">
        <v>129</v>
      </c>
      <c r="B20" s="219" t="s">
        <v>176</v>
      </c>
      <c r="C20" s="220"/>
      <c r="D20" s="219" t="s">
        <v>358</v>
      </c>
      <c r="E20" s="221"/>
      <c r="F20" s="221"/>
      <c r="G20" s="220"/>
      <c r="H20" s="75"/>
      <c r="I20" s="76"/>
    </row>
    <row r="21" spans="1:9" ht="51" customHeight="1" x14ac:dyDescent="0.2">
      <c r="A21" s="74" t="s">
        <v>129</v>
      </c>
      <c r="B21" s="219" t="s">
        <v>782</v>
      </c>
      <c r="C21" s="220"/>
      <c r="D21" s="219" t="s">
        <v>783</v>
      </c>
      <c r="E21" s="221"/>
      <c r="F21" s="221"/>
      <c r="G21" s="220"/>
      <c r="H21" s="75"/>
      <c r="I21" s="76"/>
    </row>
    <row r="22" spans="1:9" ht="15.75" customHeight="1" x14ac:dyDescent="0.2">
      <c r="A22" s="74" t="s">
        <v>129</v>
      </c>
      <c r="B22" s="240" t="s">
        <v>137</v>
      </c>
      <c r="C22" s="241"/>
      <c r="D22" s="240"/>
      <c r="E22" s="242"/>
      <c r="F22" s="242"/>
      <c r="G22" s="241"/>
      <c r="H22" s="77"/>
      <c r="I22" s="78"/>
    </row>
    <row r="23" spans="1:9" ht="12.75" customHeight="1" x14ac:dyDescent="0.2">
      <c r="A23" s="96" t="s">
        <v>129</v>
      </c>
      <c r="B23" s="231" t="s">
        <v>224</v>
      </c>
      <c r="C23" s="232"/>
      <c r="D23" s="233">
        <v>1</v>
      </c>
      <c r="E23" s="234"/>
      <c r="F23" s="234"/>
      <c r="G23" s="235"/>
      <c r="H23" s="97"/>
      <c r="I23" s="80"/>
    </row>
    <row r="24" spans="1:9" ht="196.35" customHeight="1" x14ac:dyDescent="0.2">
      <c r="A24" s="90" t="s">
        <v>121</v>
      </c>
      <c r="B24" s="236" t="s">
        <v>784</v>
      </c>
      <c r="C24" s="237"/>
      <c r="D24" s="238" t="s">
        <v>785</v>
      </c>
      <c r="E24" s="189"/>
      <c r="F24" s="189"/>
      <c r="G24" s="239"/>
      <c r="H24" s="81" t="s">
        <v>786</v>
      </c>
      <c r="I24" s="82">
        <f>ROUND(26.44 * 0.8 * 540 * 1 * 1.2,2)</f>
        <v>13706.5</v>
      </c>
    </row>
    <row r="25" spans="1:9" ht="15.75" customHeight="1" x14ac:dyDescent="0.2">
      <c r="A25" s="71" t="s">
        <v>129</v>
      </c>
      <c r="B25" s="216" t="s">
        <v>130</v>
      </c>
      <c r="C25" s="217"/>
      <c r="D25" s="216"/>
      <c r="E25" s="218"/>
      <c r="F25" s="218"/>
      <c r="G25" s="217"/>
      <c r="H25" s="72"/>
      <c r="I25" s="73"/>
    </row>
    <row r="26" spans="1:9" ht="12.75" customHeight="1" x14ac:dyDescent="0.2">
      <c r="A26" s="74" t="s">
        <v>129</v>
      </c>
      <c r="B26" s="219" t="s">
        <v>176</v>
      </c>
      <c r="C26" s="220"/>
      <c r="D26" s="219" t="s">
        <v>358</v>
      </c>
      <c r="E26" s="221"/>
      <c r="F26" s="221"/>
      <c r="G26" s="220"/>
      <c r="H26" s="75"/>
      <c r="I26" s="76"/>
    </row>
    <row r="27" spans="1:9" ht="89.25" customHeight="1" x14ac:dyDescent="0.2">
      <c r="A27" s="74" t="s">
        <v>129</v>
      </c>
      <c r="B27" s="219" t="s">
        <v>135</v>
      </c>
      <c r="C27" s="220"/>
      <c r="D27" s="219" t="s">
        <v>144</v>
      </c>
      <c r="E27" s="221"/>
      <c r="F27" s="221"/>
      <c r="G27" s="220"/>
      <c r="H27" s="75"/>
      <c r="I27" s="76"/>
    </row>
    <row r="28" spans="1:9" ht="15.75" customHeight="1" x14ac:dyDescent="0.2">
      <c r="A28" s="74" t="s">
        <v>129</v>
      </c>
      <c r="B28" s="240" t="s">
        <v>137</v>
      </c>
      <c r="C28" s="241"/>
      <c r="D28" s="240"/>
      <c r="E28" s="242"/>
      <c r="F28" s="242"/>
      <c r="G28" s="241"/>
      <c r="H28" s="77"/>
      <c r="I28" s="78"/>
    </row>
    <row r="29" spans="1:9" ht="12.75" customHeight="1" x14ac:dyDescent="0.2">
      <c r="A29" s="96" t="s">
        <v>129</v>
      </c>
      <c r="B29" s="231" t="s">
        <v>224</v>
      </c>
      <c r="C29" s="232"/>
      <c r="D29" s="233">
        <v>1</v>
      </c>
      <c r="E29" s="234"/>
      <c r="F29" s="234"/>
      <c r="G29" s="235"/>
      <c r="H29" s="97"/>
      <c r="I29" s="80"/>
    </row>
    <row r="30" spans="1:9" ht="145.35" customHeight="1" x14ac:dyDescent="0.2">
      <c r="A30" s="90" t="s">
        <v>123</v>
      </c>
      <c r="B30" s="236" t="s">
        <v>140</v>
      </c>
      <c r="C30" s="237"/>
      <c r="D30" s="238" t="s">
        <v>767</v>
      </c>
      <c r="E30" s="189"/>
      <c r="F30" s="189"/>
      <c r="G30" s="239"/>
      <c r="H30" s="81" t="s">
        <v>787</v>
      </c>
      <c r="I30" s="82">
        <f>ROUND(0.167 * 24 * 540 * 1 * 1.2,2)</f>
        <v>2597.1799999999998</v>
      </c>
    </row>
    <row r="31" spans="1:9" ht="15.75" customHeight="1" x14ac:dyDescent="0.2">
      <c r="A31" s="71" t="s">
        <v>129</v>
      </c>
      <c r="B31" s="216" t="s">
        <v>130</v>
      </c>
      <c r="C31" s="217"/>
      <c r="D31" s="216"/>
      <c r="E31" s="218"/>
      <c r="F31" s="218"/>
      <c r="G31" s="217"/>
      <c r="H31" s="72"/>
      <c r="I31" s="73"/>
    </row>
    <row r="32" spans="1:9" ht="12.75" customHeight="1" x14ac:dyDescent="0.2">
      <c r="A32" s="74" t="s">
        <v>129</v>
      </c>
      <c r="B32" s="219" t="s">
        <v>176</v>
      </c>
      <c r="C32" s="220"/>
      <c r="D32" s="219" t="s">
        <v>358</v>
      </c>
      <c r="E32" s="221"/>
      <c r="F32" s="221"/>
      <c r="G32" s="220"/>
      <c r="H32" s="75"/>
      <c r="I32" s="76"/>
    </row>
    <row r="33" spans="1:9" ht="89.25" customHeight="1" x14ac:dyDescent="0.2">
      <c r="A33" s="74" t="s">
        <v>129</v>
      </c>
      <c r="B33" s="219" t="s">
        <v>135</v>
      </c>
      <c r="C33" s="220"/>
      <c r="D33" s="219" t="s">
        <v>144</v>
      </c>
      <c r="E33" s="221"/>
      <c r="F33" s="221"/>
      <c r="G33" s="220"/>
      <c r="H33" s="75"/>
      <c r="I33" s="76"/>
    </row>
    <row r="34" spans="1:9" ht="15.75" customHeight="1" x14ac:dyDescent="0.2">
      <c r="A34" s="74" t="s">
        <v>129</v>
      </c>
      <c r="B34" s="240" t="s">
        <v>137</v>
      </c>
      <c r="C34" s="241"/>
      <c r="D34" s="240"/>
      <c r="E34" s="242"/>
      <c r="F34" s="242"/>
      <c r="G34" s="241"/>
      <c r="H34" s="77"/>
      <c r="I34" s="78"/>
    </row>
    <row r="35" spans="1:9" ht="12.75" customHeight="1" x14ac:dyDescent="0.2">
      <c r="A35" s="96" t="s">
        <v>129</v>
      </c>
      <c r="B35" s="231" t="s">
        <v>224</v>
      </c>
      <c r="C35" s="232"/>
      <c r="D35" s="233">
        <v>1</v>
      </c>
      <c r="E35" s="234"/>
      <c r="F35" s="234"/>
      <c r="G35" s="235"/>
      <c r="H35" s="97"/>
      <c r="I35" s="80"/>
    </row>
    <row r="36" spans="1:9" ht="196.35" customHeight="1" x14ac:dyDescent="0.2">
      <c r="A36" s="90" t="s">
        <v>230</v>
      </c>
      <c r="B36" s="236" t="s">
        <v>788</v>
      </c>
      <c r="C36" s="237"/>
      <c r="D36" s="238" t="s">
        <v>789</v>
      </c>
      <c r="E36" s="189"/>
      <c r="F36" s="189"/>
      <c r="G36" s="239"/>
      <c r="H36" s="81" t="s">
        <v>790</v>
      </c>
      <c r="I36" s="82">
        <f>ROUND(35.76 * 0.8 * 540 * 1 * 1.2,2)</f>
        <v>18537.98</v>
      </c>
    </row>
    <row r="37" spans="1:9" ht="15.75" customHeight="1" x14ac:dyDescent="0.2">
      <c r="A37" s="71" t="s">
        <v>129</v>
      </c>
      <c r="B37" s="216" t="s">
        <v>130</v>
      </c>
      <c r="C37" s="217"/>
      <c r="D37" s="216"/>
      <c r="E37" s="218"/>
      <c r="F37" s="218"/>
      <c r="G37" s="217"/>
      <c r="H37" s="72"/>
      <c r="I37" s="73"/>
    </row>
    <row r="38" spans="1:9" ht="12.75" customHeight="1" x14ac:dyDescent="0.2">
      <c r="A38" s="74" t="s">
        <v>129</v>
      </c>
      <c r="B38" s="219" t="s">
        <v>176</v>
      </c>
      <c r="C38" s="220"/>
      <c r="D38" s="219" t="s">
        <v>358</v>
      </c>
      <c r="E38" s="221"/>
      <c r="F38" s="221"/>
      <c r="G38" s="220"/>
      <c r="H38" s="75"/>
      <c r="I38" s="76"/>
    </row>
    <row r="39" spans="1:9" ht="89.25" customHeight="1" x14ac:dyDescent="0.2">
      <c r="A39" s="74" t="s">
        <v>129</v>
      </c>
      <c r="B39" s="219" t="s">
        <v>135</v>
      </c>
      <c r="C39" s="220"/>
      <c r="D39" s="219" t="s">
        <v>144</v>
      </c>
      <c r="E39" s="221"/>
      <c r="F39" s="221"/>
      <c r="G39" s="220"/>
      <c r="H39" s="75"/>
      <c r="I39" s="76"/>
    </row>
    <row r="40" spans="1:9" ht="15.75" customHeight="1" x14ac:dyDescent="0.2">
      <c r="A40" s="74" t="s">
        <v>129</v>
      </c>
      <c r="B40" s="240" t="s">
        <v>137</v>
      </c>
      <c r="C40" s="241"/>
      <c r="D40" s="240"/>
      <c r="E40" s="242"/>
      <c r="F40" s="242"/>
      <c r="G40" s="241"/>
      <c r="H40" s="77"/>
      <c r="I40" s="78"/>
    </row>
    <row r="41" spans="1:9" ht="12.75" customHeight="1" x14ac:dyDescent="0.2">
      <c r="A41" s="96" t="s">
        <v>129</v>
      </c>
      <c r="B41" s="231" t="s">
        <v>224</v>
      </c>
      <c r="C41" s="232"/>
      <c r="D41" s="233">
        <v>1</v>
      </c>
      <c r="E41" s="234"/>
      <c r="F41" s="234"/>
      <c r="G41" s="235"/>
      <c r="H41" s="97"/>
      <c r="I41" s="80"/>
    </row>
    <row r="42" spans="1:9" ht="63.75" customHeight="1" x14ac:dyDescent="0.2">
      <c r="A42" s="96" t="s">
        <v>365</v>
      </c>
      <c r="B42" s="243" t="s">
        <v>791</v>
      </c>
      <c r="C42" s="244"/>
      <c r="D42" s="243"/>
      <c r="E42" s="245"/>
      <c r="F42" s="245"/>
      <c r="G42" s="244"/>
      <c r="H42" s="83"/>
      <c r="I42" s="84">
        <f>ROUND((SUM($I$18:$I$36)),2)</f>
        <v>69329.3</v>
      </c>
    </row>
    <row r="43" spans="1:9" ht="63.75" customHeight="1" x14ac:dyDescent="0.2">
      <c r="A43" s="65" t="s">
        <v>367</v>
      </c>
      <c r="B43" s="228" t="s">
        <v>792</v>
      </c>
      <c r="C43" s="229"/>
      <c r="D43" s="228"/>
      <c r="E43" s="230"/>
      <c r="F43" s="230"/>
      <c r="G43" s="229"/>
      <c r="H43" s="66"/>
      <c r="I43" s="70">
        <f>ROUND(($I$42),2)</f>
        <v>69329.3</v>
      </c>
    </row>
    <row r="44" spans="1:9" ht="25.5" customHeight="1" x14ac:dyDescent="0.2">
      <c r="A44" s="65" t="s">
        <v>7</v>
      </c>
      <c r="B44" s="228" t="s">
        <v>115</v>
      </c>
      <c r="C44" s="229"/>
      <c r="D44" s="228" t="s">
        <v>793</v>
      </c>
      <c r="E44" s="230"/>
      <c r="F44" s="230"/>
      <c r="G44" s="229"/>
      <c r="H44" s="66"/>
      <c r="I44" s="67"/>
    </row>
    <row r="45" spans="1:9" ht="38.25" customHeight="1" x14ac:dyDescent="0.2">
      <c r="A45" s="65" t="s">
        <v>125</v>
      </c>
      <c r="B45" s="246" t="s">
        <v>794</v>
      </c>
      <c r="C45" s="247"/>
      <c r="D45" s="246" t="s">
        <v>795</v>
      </c>
      <c r="E45" s="248"/>
      <c r="F45" s="248"/>
      <c r="G45" s="247"/>
      <c r="H45" s="68" t="s">
        <v>796</v>
      </c>
      <c r="I45" s="69">
        <v>11664</v>
      </c>
    </row>
    <row r="46" spans="1:9" ht="196.35" customHeight="1" x14ac:dyDescent="0.2">
      <c r="A46" s="85" t="s">
        <v>139</v>
      </c>
      <c r="B46" s="211" t="s">
        <v>797</v>
      </c>
      <c r="C46" s="212"/>
      <c r="D46" s="213" t="s">
        <v>798</v>
      </c>
      <c r="E46" s="214"/>
      <c r="F46" s="214"/>
      <c r="G46" s="215"/>
      <c r="H46" s="87" t="s">
        <v>799</v>
      </c>
      <c r="I46" s="88">
        <f>ROUND(29.64 * 0.4 * 540 * 1 * 1.2,2)</f>
        <v>7682.69</v>
      </c>
    </row>
    <row r="47" spans="1:9" ht="15.75" customHeight="1" x14ac:dyDescent="0.2">
      <c r="A47" s="71" t="s">
        <v>129</v>
      </c>
      <c r="B47" s="216" t="s">
        <v>130</v>
      </c>
      <c r="C47" s="217"/>
      <c r="D47" s="216"/>
      <c r="E47" s="218"/>
      <c r="F47" s="218"/>
      <c r="G47" s="217"/>
      <c r="H47" s="72"/>
      <c r="I47" s="73"/>
    </row>
    <row r="48" spans="1:9" ht="12.75" customHeight="1" x14ac:dyDescent="0.2">
      <c r="A48" s="74" t="s">
        <v>129</v>
      </c>
      <c r="B48" s="219" t="s">
        <v>176</v>
      </c>
      <c r="C48" s="220"/>
      <c r="D48" s="219" t="s">
        <v>358</v>
      </c>
      <c r="E48" s="221"/>
      <c r="F48" s="221"/>
      <c r="G48" s="220"/>
      <c r="H48" s="75"/>
      <c r="I48" s="76"/>
    </row>
    <row r="49" spans="1:9" ht="89.25" customHeight="1" x14ac:dyDescent="0.2">
      <c r="A49" s="74" t="s">
        <v>129</v>
      </c>
      <c r="B49" s="219" t="s">
        <v>135</v>
      </c>
      <c r="C49" s="220"/>
      <c r="D49" s="219" t="s">
        <v>144</v>
      </c>
      <c r="E49" s="221"/>
      <c r="F49" s="221"/>
      <c r="G49" s="220"/>
      <c r="H49" s="75"/>
      <c r="I49" s="76"/>
    </row>
    <row r="50" spans="1:9" ht="15.75" customHeight="1" x14ac:dyDescent="0.2">
      <c r="A50" s="74" t="s">
        <v>129</v>
      </c>
      <c r="B50" s="240" t="s">
        <v>137</v>
      </c>
      <c r="C50" s="241"/>
      <c r="D50" s="240"/>
      <c r="E50" s="242"/>
      <c r="F50" s="242"/>
      <c r="G50" s="241"/>
      <c r="H50" s="77"/>
      <c r="I50" s="78"/>
    </row>
    <row r="51" spans="1:9" ht="12.75" customHeight="1" x14ac:dyDescent="0.2">
      <c r="A51" s="96" t="s">
        <v>129</v>
      </c>
      <c r="B51" s="231" t="s">
        <v>224</v>
      </c>
      <c r="C51" s="232"/>
      <c r="D51" s="233">
        <v>1</v>
      </c>
      <c r="E51" s="234"/>
      <c r="F51" s="234"/>
      <c r="G51" s="235"/>
      <c r="H51" s="97"/>
      <c r="I51" s="80"/>
    </row>
    <row r="52" spans="1:9" ht="183.6" customHeight="1" x14ac:dyDescent="0.2">
      <c r="A52" s="206" t="s">
        <v>145</v>
      </c>
      <c r="B52" s="236" t="s">
        <v>788</v>
      </c>
      <c r="C52" s="237"/>
      <c r="D52" s="238" t="s">
        <v>800</v>
      </c>
      <c r="E52" s="189"/>
      <c r="F52" s="189"/>
      <c r="G52" s="239"/>
      <c r="H52" s="202" t="s">
        <v>801</v>
      </c>
      <c r="I52" s="205">
        <f>ROUND(35.76 * 0.3 * 540 * 1 * 1.2,2)</f>
        <v>6951.74</v>
      </c>
    </row>
    <row r="53" spans="1:9" ht="12.75" customHeight="1" x14ac:dyDescent="0.2">
      <c r="A53" s="206"/>
      <c r="B53" s="236"/>
      <c r="C53" s="237"/>
      <c r="D53" s="238"/>
      <c r="E53" s="189"/>
      <c r="F53" s="189"/>
      <c r="G53" s="239"/>
      <c r="H53" s="202"/>
      <c r="I53" s="205"/>
    </row>
    <row r="54" spans="1:9" ht="15.75" customHeight="1" x14ac:dyDescent="0.2">
      <c r="A54" s="71" t="s">
        <v>129</v>
      </c>
      <c r="B54" s="216" t="s">
        <v>130</v>
      </c>
      <c r="C54" s="217"/>
      <c r="D54" s="216"/>
      <c r="E54" s="218"/>
      <c r="F54" s="218"/>
      <c r="G54" s="217"/>
      <c r="H54" s="72"/>
      <c r="I54" s="73"/>
    </row>
    <row r="55" spans="1:9" ht="12.75" customHeight="1" x14ac:dyDescent="0.2">
      <c r="A55" s="74" t="s">
        <v>129</v>
      </c>
      <c r="B55" s="219" t="s">
        <v>176</v>
      </c>
      <c r="C55" s="220"/>
      <c r="D55" s="219" t="s">
        <v>358</v>
      </c>
      <c r="E55" s="221"/>
      <c r="F55" s="221"/>
      <c r="G55" s="220"/>
      <c r="H55" s="75"/>
      <c r="I55" s="76"/>
    </row>
    <row r="56" spans="1:9" ht="89.25" customHeight="1" x14ac:dyDescent="0.2">
      <c r="A56" s="74" t="s">
        <v>129</v>
      </c>
      <c r="B56" s="219" t="s">
        <v>135</v>
      </c>
      <c r="C56" s="220"/>
      <c r="D56" s="219" t="s">
        <v>144</v>
      </c>
      <c r="E56" s="221"/>
      <c r="F56" s="221"/>
      <c r="G56" s="220"/>
      <c r="H56" s="75"/>
      <c r="I56" s="76"/>
    </row>
    <row r="57" spans="1:9" ht="15.75" customHeight="1" x14ac:dyDescent="0.2">
      <c r="A57" s="74" t="s">
        <v>129</v>
      </c>
      <c r="B57" s="240" t="s">
        <v>137</v>
      </c>
      <c r="C57" s="241"/>
      <c r="D57" s="240"/>
      <c r="E57" s="242"/>
      <c r="F57" s="242"/>
      <c r="G57" s="241"/>
      <c r="H57" s="77"/>
      <c r="I57" s="78"/>
    </row>
    <row r="58" spans="1:9" ht="12.75" customHeight="1" x14ac:dyDescent="0.2">
      <c r="A58" s="96" t="s">
        <v>129</v>
      </c>
      <c r="B58" s="231" t="s">
        <v>224</v>
      </c>
      <c r="C58" s="232"/>
      <c r="D58" s="233">
        <v>1</v>
      </c>
      <c r="E58" s="234"/>
      <c r="F58" s="234"/>
      <c r="G58" s="235"/>
      <c r="H58" s="97"/>
      <c r="I58" s="80"/>
    </row>
    <row r="59" spans="1:9" ht="38.25" customHeight="1" x14ac:dyDescent="0.2">
      <c r="A59" s="96" t="s">
        <v>147</v>
      </c>
      <c r="B59" s="243" t="s">
        <v>802</v>
      </c>
      <c r="C59" s="244"/>
      <c r="D59" s="243"/>
      <c r="E59" s="245"/>
      <c r="F59" s="245"/>
      <c r="G59" s="244"/>
      <c r="H59" s="83"/>
      <c r="I59" s="84">
        <f>ROUND((SUM($I$45:$I$52)),2)</f>
        <v>26298.43</v>
      </c>
    </row>
    <row r="60" spans="1:9" ht="38.25" customHeight="1" x14ac:dyDescent="0.2">
      <c r="A60" s="65" t="s">
        <v>240</v>
      </c>
      <c r="B60" s="228" t="s">
        <v>803</v>
      </c>
      <c r="C60" s="229"/>
      <c r="D60" s="228"/>
      <c r="E60" s="230"/>
      <c r="F60" s="230"/>
      <c r="G60" s="229"/>
      <c r="H60" s="66"/>
      <c r="I60" s="70">
        <f>ROUND(($I$59),2)</f>
        <v>26298.43</v>
      </c>
    </row>
    <row r="61" spans="1:9" ht="12.75" customHeight="1" x14ac:dyDescent="0.2">
      <c r="A61" s="65" t="s">
        <v>23</v>
      </c>
      <c r="B61" s="228" t="s">
        <v>213</v>
      </c>
      <c r="C61" s="229"/>
      <c r="D61" s="228"/>
      <c r="E61" s="230"/>
      <c r="F61" s="230"/>
      <c r="G61" s="229"/>
      <c r="H61" s="66"/>
      <c r="I61" s="70">
        <f>ROUND(($I$43 + $I$60),2)</f>
        <v>95627.73</v>
      </c>
    </row>
    <row r="62" spans="1:9" ht="38.25" customHeight="1" x14ac:dyDescent="0.2">
      <c r="A62" s="65" t="s">
        <v>24</v>
      </c>
      <c r="B62" s="246" t="s">
        <v>774</v>
      </c>
      <c r="C62" s="247"/>
      <c r="D62" s="246" t="s">
        <v>775</v>
      </c>
      <c r="E62" s="248"/>
      <c r="F62" s="248"/>
      <c r="G62" s="247"/>
      <c r="H62" s="68" t="s">
        <v>804</v>
      </c>
      <c r="I62" s="69">
        <f>ROUND(($I$61) * 4 * 1,2)</f>
        <v>382510.92</v>
      </c>
    </row>
    <row r="63" spans="1:9" ht="12.75" customHeight="1" x14ac:dyDescent="0.2">
      <c r="A63" s="65" t="s">
        <v>25</v>
      </c>
      <c r="B63" s="228" t="s">
        <v>214</v>
      </c>
      <c r="C63" s="229"/>
      <c r="D63" s="228"/>
      <c r="E63" s="230"/>
      <c r="F63" s="230"/>
      <c r="G63" s="229"/>
      <c r="H63" s="66"/>
      <c r="I63" s="70">
        <f>ROUND(($I$62),2)</f>
        <v>382510.92</v>
      </c>
    </row>
    <row r="64" spans="1:9" ht="12.75" customHeight="1" x14ac:dyDescent="0.2"/>
    <row r="65" spans="1:9" s="93" customFormat="1" ht="24.95" customHeight="1" x14ac:dyDescent="0.25">
      <c r="A65" s="189" t="s">
        <v>215</v>
      </c>
      <c r="B65" s="189"/>
      <c r="C65" s="189"/>
      <c r="D65" s="189"/>
      <c r="E65" s="189"/>
      <c r="F65" s="189"/>
      <c r="G65" s="189"/>
      <c r="H65" s="189"/>
      <c r="I65" s="189"/>
    </row>
    <row r="66" spans="1:9" ht="12.75" customHeight="1" x14ac:dyDescent="0.2">
      <c r="D66" s="95"/>
    </row>
  </sheetData>
  <mergeCells count="114">
    <mergeCell ref="B63:C63"/>
    <mergeCell ref="D63:G63"/>
    <mergeCell ref="A65:C65"/>
    <mergeCell ref="D65:I65"/>
    <mergeCell ref="B60:C60"/>
    <mergeCell ref="D60:G60"/>
    <mergeCell ref="B61:C61"/>
    <mergeCell ref="D61:G61"/>
    <mergeCell ref="B62:C62"/>
    <mergeCell ref="D62:G62"/>
    <mergeCell ref="B57:C57"/>
    <mergeCell ref="D57:G57"/>
    <mergeCell ref="B58:C58"/>
    <mergeCell ref="D58:G58"/>
    <mergeCell ref="B59:C59"/>
    <mergeCell ref="D59:G59"/>
    <mergeCell ref="I52:I53"/>
    <mergeCell ref="B54:C54"/>
    <mergeCell ref="D54:G54"/>
    <mergeCell ref="B55:C55"/>
    <mergeCell ref="D55:G55"/>
    <mergeCell ref="B56:C56"/>
    <mergeCell ref="D56:G56"/>
    <mergeCell ref="B51:C51"/>
    <mergeCell ref="D51:G51"/>
    <mergeCell ref="A52:A53"/>
    <mergeCell ref="B52:C53"/>
    <mergeCell ref="D52:G53"/>
    <mergeCell ref="H52:H53"/>
    <mergeCell ref="B48:C48"/>
    <mergeCell ref="D48:G48"/>
    <mergeCell ref="B49:C49"/>
    <mergeCell ref="D49:G49"/>
    <mergeCell ref="B50:C50"/>
    <mergeCell ref="D50:G50"/>
    <mergeCell ref="B45:C45"/>
    <mergeCell ref="D45:G45"/>
    <mergeCell ref="B46:C46"/>
    <mergeCell ref="D46:G46"/>
    <mergeCell ref="B47:C47"/>
    <mergeCell ref="D47:G47"/>
    <mergeCell ref="B42:C42"/>
    <mergeCell ref="D42:G42"/>
    <mergeCell ref="B43:C43"/>
    <mergeCell ref="D43:G43"/>
    <mergeCell ref="B44:C44"/>
    <mergeCell ref="D44:G44"/>
    <mergeCell ref="B39:C39"/>
    <mergeCell ref="D39:G39"/>
    <mergeCell ref="B40:C40"/>
    <mergeCell ref="D40:G40"/>
    <mergeCell ref="B41:C41"/>
    <mergeCell ref="D41:G41"/>
    <mergeCell ref="B36:C36"/>
    <mergeCell ref="D36:G36"/>
    <mergeCell ref="B37:C37"/>
    <mergeCell ref="D37:G37"/>
    <mergeCell ref="B38:C38"/>
    <mergeCell ref="D38:G38"/>
    <mergeCell ref="B33:C33"/>
    <mergeCell ref="D33:G33"/>
    <mergeCell ref="B34:C34"/>
    <mergeCell ref="D34:G34"/>
    <mergeCell ref="B35:C35"/>
    <mergeCell ref="D35:G35"/>
    <mergeCell ref="B30:C30"/>
    <mergeCell ref="D30:G30"/>
    <mergeCell ref="B31:C31"/>
    <mergeCell ref="D31:G31"/>
    <mergeCell ref="B32:C32"/>
    <mergeCell ref="D32:G32"/>
    <mergeCell ref="B27:C27"/>
    <mergeCell ref="D27:G27"/>
    <mergeCell ref="B28:C28"/>
    <mergeCell ref="D28:G28"/>
    <mergeCell ref="B29:C29"/>
    <mergeCell ref="D29:G29"/>
    <mergeCell ref="B24:C24"/>
    <mergeCell ref="D24:G24"/>
    <mergeCell ref="B25:C25"/>
    <mergeCell ref="D25:G25"/>
    <mergeCell ref="B26:C26"/>
    <mergeCell ref="D26:G26"/>
    <mergeCell ref="B21:C21"/>
    <mergeCell ref="D21:G21"/>
    <mergeCell ref="B22:C22"/>
    <mergeCell ref="D22:G22"/>
    <mergeCell ref="B23:C23"/>
    <mergeCell ref="D23:G23"/>
    <mergeCell ref="B18:C18"/>
    <mergeCell ref="D18:G18"/>
    <mergeCell ref="B19:C19"/>
    <mergeCell ref="D19:G19"/>
    <mergeCell ref="B20:C20"/>
    <mergeCell ref="D20:G20"/>
    <mergeCell ref="B16:C16"/>
    <mergeCell ref="D16:G16"/>
    <mergeCell ref="B17:C17"/>
    <mergeCell ref="D17:G17"/>
    <mergeCell ref="A8:C8"/>
    <mergeCell ref="D8:I8"/>
    <mergeCell ref="A10:C10"/>
    <mergeCell ref="D10:I10"/>
    <mergeCell ref="A12:C12"/>
    <mergeCell ref="D12:I12"/>
    <mergeCell ref="A1:C1"/>
    <mergeCell ref="D1:I1"/>
    <mergeCell ref="A3:I3"/>
    <mergeCell ref="A4:I4"/>
    <mergeCell ref="A6:C6"/>
    <mergeCell ref="D6:I6"/>
    <mergeCell ref="A14:I14"/>
    <mergeCell ref="B15:C15"/>
    <mergeCell ref="D15:G15"/>
  </mergeCells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E84B5-3FFF-4647-95B0-BD0F5695EE39}">
  <dimension ref="A1:G39"/>
  <sheetViews>
    <sheetView topLeftCell="A20" workbookViewId="0">
      <selection activeCell="C37" sqref="C37:G37"/>
    </sheetView>
  </sheetViews>
  <sheetFormatPr defaultColWidth="11.5703125" defaultRowHeight="12.75" x14ac:dyDescent="0.2"/>
  <cols>
    <col min="1" max="1" width="4.7109375" style="107" customWidth="1"/>
    <col min="2" max="2" width="20.42578125" style="107" customWidth="1"/>
    <col min="3" max="3" width="13.140625" style="107" customWidth="1"/>
    <col min="4" max="4" width="12.85546875" style="107" customWidth="1"/>
    <col min="5" max="5" width="14.28515625" style="107" customWidth="1"/>
    <col min="6" max="6" width="15.28515625" style="58" customWidth="1"/>
    <col min="7" max="7" width="16.28515625" style="58" customWidth="1"/>
    <col min="8" max="16384" width="11.5703125" style="58"/>
  </cols>
  <sheetData>
    <row r="1" spans="1:7" ht="25.5" customHeight="1" x14ac:dyDescent="0.2">
      <c r="A1" s="208" t="s">
        <v>99</v>
      </c>
      <c r="B1" s="189"/>
      <c r="C1" s="257" t="s">
        <v>945</v>
      </c>
      <c r="D1" s="257"/>
      <c r="E1" s="257"/>
      <c r="F1" s="257"/>
      <c r="G1" s="257"/>
    </row>
    <row r="2" spans="1:7" x14ac:dyDescent="0.2">
      <c r="A2" s="100"/>
      <c r="B2" s="101"/>
      <c r="C2" s="102"/>
      <c r="D2" s="102"/>
      <c r="E2" s="102"/>
      <c r="F2" s="102"/>
      <c r="G2" s="102"/>
    </row>
    <row r="3" spans="1:7" x14ac:dyDescent="0.2">
      <c r="A3" s="100"/>
      <c r="B3" s="101"/>
      <c r="C3" s="102"/>
      <c r="D3" s="102"/>
      <c r="E3" s="102"/>
      <c r="F3" s="102"/>
      <c r="G3" s="102"/>
    </row>
    <row r="4" spans="1:7" x14ac:dyDescent="0.2">
      <c r="B4" s="258" t="s">
        <v>661</v>
      </c>
      <c r="C4" s="258"/>
      <c r="D4" s="258"/>
      <c r="E4" s="258"/>
      <c r="F4" s="258"/>
    </row>
    <row r="5" spans="1:7" x14ac:dyDescent="0.2">
      <c r="B5" s="259" t="s">
        <v>101</v>
      </c>
      <c r="C5" s="259" t="s">
        <v>732</v>
      </c>
      <c r="D5" s="259" t="s">
        <v>732</v>
      </c>
      <c r="E5" s="259"/>
      <c r="F5" s="259"/>
    </row>
    <row r="6" spans="1:7" x14ac:dyDescent="0.2">
      <c r="B6" s="103"/>
      <c r="C6" s="103"/>
      <c r="D6" s="103"/>
      <c r="E6" s="103"/>
      <c r="F6" s="103"/>
    </row>
    <row r="7" spans="1:7" ht="38.25" customHeight="1" x14ac:dyDescent="0.2">
      <c r="A7" s="189" t="s">
        <v>102</v>
      </c>
      <c r="B7" s="189"/>
      <c r="C7" s="189" t="s">
        <v>87</v>
      </c>
      <c r="D7" s="189"/>
      <c r="E7" s="189"/>
      <c r="F7" s="189"/>
      <c r="G7" s="189"/>
    </row>
    <row r="8" spans="1:7" x14ac:dyDescent="0.2">
      <c r="C8" s="62"/>
      <c r="D8" s="62"/>
    </row>
    <row r="9" spans="1:7" ht="40.5" customHeight="1" x14ac:dyDescent="0.2">
      <c r="A9" s="189" t="s">
        <v>103</v>
      </c>
      <c r="B9" s="189"/>
      <c r="C9" s="189"/>
      <c r="D9" s="189"/>
      <c r="E9" s="196" t="s">
        <v>946</v>
      </c>
      <c r="F9" s="196"/>
      <c r="G9" s="196"/>
    </row>
    <row r="10" spans="1:7" hidden="1" x14ac:dyDescent="0.2">
      <c r="A10" s="63"/>
      <c r="B10" s="63"/>
      <c r="C10" s="103"/>
      <c r="D10" s="103"/>
      <c r="E10" s="103"/>
      <c r="F10" s="103"/>
      <c r="G10" s="103"/>
    </row>
    <row r="12" spans="1:7" ht="27.95" customHeight="1" x14ac:dyDescent="0.2">
      <c r="A12" s="189" t="s">
        <v>105</v>
      </c>
      <c r="B12" s="189"/>
      <c r="C12" s="189"/>
      <c r="D12" s="189"/>
      <c r="E12" s="196"/>
      <c r="F12" s="196"/>
      <c r="G12" s="196"/>
    </row>
    <row r="13" spans="1:7" hidden="1" x14ac:dyDescent="0.2"/>
    <row r="14" spans="1:7" ht="27.95" customHeight="1" x14ac:dyDescent="0.2">
      <c r="A14" s="189" t="s">
        <v>106</v>
      </c>
      <c r="B14" s="189"/>
      <c r="C14" s="189"/>
      <c r="D14" s="189"/>
      <c r="E14" s="196"/>
      <c r="F14" s="196"/>
      <c r="G14" s="196"/>
    </row>
    <row r="15" spans="1:7" hidden="1" x14ac:dyDescent="0.2">
      <c r="A15" s="94"/>
      <c r="B15" s="94"/>
      <c r="C15" s="63"/>
      <c r="D15" s="94"/>
      <c r="E15" s="94"/>
    </row>
    <row r="16" spans="1:7" ht="12.75" customHeight="1" x14ac:dyDescent="0.2">
      <c r="A16" s="94"/>
      <c r="B16" s="94"/>
      <c r="C16" s="63"/>
      <c r="D16" s="94"/>
      <c r="E16" s="94"/>
    </row>
    <row r="17" spans="1:7" ht="12.75" customHeight="1" x14ac:dyDescent="0.2">
      <c r="A17" s="198" t="s">
        <v>218</v>
      </c>
      <c r="B17" s="198"/>
      <c r="C17" s="198"/>
      <c r="D17" s="198"/>
      <c r="E17" s="198"/>
      <c r="F17" s="198"/>
      <c r="G17" s="198"/>
    </row>
    <row r="18" spans="1:7" ht="31.35" customHeight="1" x14ac:dyDescent="0.2">
      <c r="A18" s="260" t="s">
        <v>734</v>
      </c>
      <c r="B18" s="260" t="s">
        <v>735</v>
      </c>
      <c r="C18" s="260" t="s">
        <v>736</v>
      </c>
      <c r="D18" s="260"/>
      <c r="E18" s="260" t="s">
        <v>737</v>
      </c>
      <c r="F18" s="260" t="s">
        <v>738</v>
      </c>
      <c r="G18" s="260" t="s">
        <v>739</v>
      </c>
    </row>
    <row r="19" spans="1:7" ht="31.7" customHeight="1" x14ac:dyDescent="0.2">
      <c r="A19" s="260"/>
      <c r="B19" s="260"/>
      <c r="C19" s="127" t="s">
        <v>740</v>
      </c>
      <c r="D19" s="127" t="s">
        <v>741</v>
      </c>
      <c r="E19" s="260"/>
      <c r="F19" s="260"/>
      <c r="G19" s="260"/>
    </row>
    <row r="20" spans="1:7" x14ac:dyDescent="0.2">
      <c r="A20" s="129">
        <v>1</v>
      </c>
      <c r="B20" s="129">
        <v>2</v>
      </c>
      <c r="C20" s="129">
        <v>3</v>
      </c>
      <c r="D20" s="129">
        <v>4</v>
      </c>
      <c r="E20" s="129">
        <v>5</v>
      </c>
      <c r="F20" s="139">
        <v>6</v>
      </c>
      <c r="G20" s="139">
        <v>7</v>
      </c>
    </row>
    <row r="21" spans="1:7" ht="63.75" customHeight="1" x14ac:dyDescent="0.2">
      <c r="A21" s="262">
        <v>1</v>
      </c>
      <c r="B21" s="263" t="s">
        <v>946</v>
      </c>
      <c r="C21" s="140">
        <v>1</v>
      </c>
      <c r="D21" s="140" t="s">
        <v>757</v>
      </c>
      <c r="E21" s="140">
        <v>10</v>
      </c>
      <c r="F21" s="141" t="s">
        <v>744</v>
      </c>
      <c r="G21" s="264">
        <f>ROUND((1*10*8*414.15+1*10*8*414.15+1*10*8*388.26),2)</f>
        <v>97324.800000000003</v>
      </c>
    </row>
    <row r="22" spans="1:7" x14ac:dyDescent="0.2">
      <c r="A22" s="262"/>
      <c r="B22" s="263"/>
      <c r="C22" s="140">
        <v>1</v>
      </c>
      <c r="D22" s="140" t="s">
        <v>743</v>
      </c>
      <c r="E22" s="140">
        <v>10</v>
      </c>
      <c r="F22" s="141" t="s">
        <v>744</v>
      </c>
      <c r="G22" s="264"/>
    </row>
    <row r="23" spans="1:7" ht="25.5" x14ac:dyDescent="0.2">
      <c r="A23" s="262"/>
      <c r="B23" s="263"/>
      <c r="C23" s="140">
        <v>1</v>
      </c>
      <c r="D23" s="140" t="s">
        <v>760</v>
      </c>
      <c r="E23" s="140">
        <v>10</v>
      </c>
      <c r="F23" s="141" t="s">
        <v>761</v>
      </c>
      <c r="G23" s="264"/>
    </row>
    <row r="24" spans="1:7" x14ac:dyDescent="0.2">
      <c r="A24" s="104">
        <v>2</v>
      </c>
      <c r="B24" s="68" t="s">
        <v>213</v>
      </c>
      <c r="C24" s="68"/>
      <c r="D24" s="68"/>
      <c r="E24" s="68"/>
      <c r="F24" s="105"/>
      <c r="G24" s="106">
        <f>ROUND(($G$21),2)</f>
        <v>97324.800000000003</v>
      </c>
    </row>
    <row r="27" spans="1:7" x14ac:dyDescent="0.2">
      <c r="A27" s="265" t="s">
        <v>947</v>
      </c>
      <c r="B27" s="265"/>
      <c r="C27" s="265"/>
      <c r="D27" s="265"/>
      <c r="E27" s="265"/>
      <c r="F27" s="265"/>
      <c r="G27" s="265"/>
    </row>
    <row r="29" spans="1:7" ht="25.5" customHeight="1" x14ac:dyDescent="0.2">
      <c r="A29" s="104">
        <v>3</v>
      </c>
      <c r="B29" s="246" t="s">
        <v>750</v>
      </c>
      <c r="C29" s="248"/>
      <c r="D29" s="248"/>
      <c r="E29" s="248"/>
      <c r="F29" s="247"/>
      <c r="G29" s="106">
        <f>ROUND(($G$24),2)</f>
        <v>97324.800000000003</v>
      </c>
    </row>
    <row r="30" spans="1:7" ht="25.5" customHeight="1" x14ac:dyDescent="0.2">
      <c r="A30" s="104">
        <v>4</v>
      </c>
      <c r="B30" s="246" t="s">
        <v>751</v>
      </c>
      <c r="C30" s="248"/>
      <c r="D30" s="248"/>
      <c r="E30" s="248"/>
      <c r="F30" s="247"/>
      <c r="G30" s="106">
        <f>ROUND(($G$29) * 30.8 / 100 * 1,2)</f>
        <v>29976.04</v>
      </c>
    </row>
    <row r="31" spans="1:7" ht="25.5" customHeight="1" x14ac:dyDescent="0.2">
      <c r="A31" s="104">
        <v>5</v>
      </c>
      <c r="B31" s="246" t="s">
        <v>752</v>
      </c>
      <c r="C31" s="248"/>
      <c r="D31" s="248"/>
      <c r="E31" s="248"/>
      <c r="F31" s="247"/>
      <c r="G31" s="106">
        <f>ROUND(($G$29 + $G$30),2)</f>
        <v>127300.84</v>
      </c>
    </row>
    <row r="32" spans="1:7" ht="63.75" customHeight="1" x14ac:dyDescent="0.2">
      <c r="A32" s="104">
        <v>6</v>
      </c>
      <c r="B32" s="246" t="s">
        <v>753</v>
      </c>
      <c r="C32" s="248"/>
      <c r="D32" s="248"/>
      <c r="E32" s="248"/>
      <c r="F32" s="247"/>
      <c r="G32" s="106">
        <f>ROUND(($G$29 + $G$30) * 1/0.4 * 1,2)</f>
        <v>318252.09999999998</v>
      </c>
    </row>
    <row r="33" spans="1:7" ht="25.5" customHeight="1" x14ac:dyDescent="0.2">
      <c r="A33" s="104">
        <v>7</v>
      </c>
      <c r="B33" s="246" t="s">
        <v>754</v>
      </c>
      <c r="C33" s="248"/>
      <c r="D33" s="248"/>
      <c r="E33" s="248"/>
      <c r="F33" s="247"/>
      <c r="G33" s="106">
        <f>ROUND(($G$32) * 8 / 100 * 1,2)</f>
        <v>25460.17</v>
      </c>
    </row>
    <row r="34" spans="1:7" ht="25.5" customHeight="1" x14ac:dyDescent="0.2">
      <c r="A34" s="104">
        <v>8</v>
      </c>
      <c r="B34" s="246" t="s">
        <v>755</v>
      </c>
      <c r="C34" s="248"/>
      <c r="D34" s="248"/>
      <c r="E34" s="248"/>
      <c r="F34" s="247"/>
      <c r="G34" s="106">
        <f>ROUND(($G$32 + $G$33),2)</f>
        <v>343712.27</v>
      </c>
    </row>
    <row r="35" spans="1:7" ht="12.75" customHeight="1" x14ac:dyDescent="0.2">
      <c r="A35" s="104">
        <v>9</v>
      </c>
      <c r="B35" s="246" t="s">
        <v>214</v>
      </c>
      <c r="C35" s="248"/>
      <c r="D35" s="248"/>
      <c r="E35" s="248"/>
      <c r="F35" s="247"/>
      <c r="G35" s="106">
        <v>343712.27</v>
      </c>
    </row>
    <row r="37" spans="1:7" s="93" customFormat="1" ht="12.75" customHeight="1" x14ac:dyDescent="0.2">
      <c r="A37" s="189" t="s">
        <v>215</v>
      </c>
      <c r="B37" s="189"/>
      <c r="C37" s="261"/>
      <c r="D37" s="261"/>
      <c r="E37" s="261"/>
      <c r="F37" s="261"/>
      <c r="G37" s="261"/>
    </row>
    <row r="38" spans="1:7" ht="24.95" customHeight="1" x14ac:dyDescent="0.2">
      <c r="A38" s="94"/>
      <c r="B38" s="94"/>
      <c r="C38" s="94"/>
      <c r="D38" s="94"/>
      <c r="E38" s="94"/>
      <c r="F38" s="63"/>
      <c r="G38" s="63"/>
    </row>
    <row r="39" spans="1:7" x14ac:dyDescent="0.2">
      <c r="A39" s="94"/>
      <c r="B39" s="94"/>
      <c r="C39" s="94"/>
      <c r="D39" s="94"/>
      <c r="E39" s="94"/>
      <c r="F39" s="63"/>
      <c r="G39" s="63"/>
    </row>
  </sheetData>
  <mergeCells count="32">
    <mergeCell ref="A37:B37"/>
    <mergeCell ref="C37:G37"/>
    <mergeCell ref="A21:A23"/>
    <mergeCell ref="B21:B23"/>
    <mergeCell ref="G21:G23"/>
    <mergeCell ref="A27:G27"/>
    <mergeCell ref="B29:F29"/>
    <mergeCell ref="B30:F30"/>
    <mergeCell ref="B31:F31"/>
    <mergeCell ref="B32:F32"/>
    <mergeCell ref="B33:F33"/>
    <mergeCell ref="B34:F34"/>
    <mergeCell ref="B35:F35"/>
    <mergeCell ref="A17:G17"/>
    <mergeCell ref="A18:A19"/>
    <mergeCell ref="B18:B19"/>
    <mergeCell ref="C18:D18"/>
    <mergeCell ref="E18:E19"/>
    <mergeCell ref="F18:F19"/>
    <mergeCell ref="G18:G19"/>
    <mergeCell ref="A9:D9"/>
    <mergeCell ref="E9:G9"/>
    <mergeCell ref="A12:D12"/>
    <mergeCell ref="E12:G12"/>
    <mergeCell ref="A14:D14"/>
    <mergeCell ref="E14:G14"/>
    <mergeCell ref="A1:B1"/>
    <mergeCell ref="C1:G1"/>
    <mergeCell ref="B4:F4"/>
    <mergeCell ref="B5:F5"/>
    <mergeCell ref="A7:B7"/>
    <mergeCell ref="C7:G7"/>
  </mergeCells>
  <pageMargins left="0.39374999999999999" right="0.39374999999999999" top="0.59027777777777779" bottom="0.82777777777777783" header="0.51180555555555562" footer="0.59027777777777779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01D24-7762-449C-B6F7-C6CE0733AA6F}">
  <dimension ref="A1:I79"/>
  <sheetViews>
    <sheetView topLeftCell="A69" workbookViewId="0">
      <selection activeCell="N84" sqref="N84"/>
    </sheetView>
  </sheetViews>
  <sheetFormatPr defaultColWidth="11.5703125" defaultRowHeight="12.75" x14ac:dyDescent="0.2"/>
  <cols>
    <col min="1" max="1" width="3.7109375" style="107" customWidth="1"/>
    <col min="2" max="2" width="10.7109375" style="107" customWidth="1"/>
    <col min="3" max="3" width="15.5703125" style="107" customWidth="1"/>
    <col min="4" max="4" width="4.42578125" style="107" customWidth="1"/>
    <col min="5" max="7" width="9.28515625" style="107" customWidth="1"/>
    <col min="8" max="8" width="19.7109375" style="107" customWidth="1"/>
    <col min="9" max="9" width="14.7109375" style="107" customWidth="1"/>
    <col min="10" max="10" width="19.7109375" style="58" customWidth="1"/>
    <col min="11" max="16384" width="11.5703125" style="58"/>
  </cols>
  <sheetData>
    <row r="1" spans="1:9" ht="25.5" customHeight="1" x14ac:dyDescent="0.2">
      <c r="A1" s="208" t="s">
        <v>99</v>
      </c>
      <c r="B1" s="208"/>
      <c r="C1" s="208"/>
      <c r="D1" s="192" t="s">
        <v>911</v>
      </c>
      <c r="E1" s="192"/>
      <c r="F1" s="192"/>
      <c r="G1" s="192"/>
      <c r="H1" s="192"/>
      <c r="I1" s="192"/>
    </row>
    <row r="2" spans="1:9" x14ac:dyDescent="0.2">
      <c r="A2" s="59"/>
      <c r="B2" s="59"/>
      <c r="C2" s="59"/>
      <c r="D2" s="60"/>
      <c r="E2" s="60"/>
      <c r="F2" s="60"/>
      <c r="G2" s="60"/>
      <c r="H2" s="60"/>
      <c r="I2" s="60"/>
    </row>
    <row r="3" spans="1:9" x14ac:dyDescent="0.2">
      <c r="A3" s="193" t="s">
        <v>710</v>
      </c>
      <c r="B3" s="193"/>
      <c r="C3" s="193"/>
      <c r="D3" s="193"/>
      <c r="E3" s="193"/>
      <c r="F3" s="193"/>
      <c r="G3" s="193"/>
      <c r="H3" s="193"/>
      <c r="I3" s="193"/>
    </row>
    <row r="4" spans="1:9" x14ac:dyDescent="0.2">
      <c r="A4" s="209" t="s">
        <v>101</v>
      </c>
      <c r="B4" s="209"/>
      <c r="C4" s="209"/>
      <c r="D4" s="209"/>
      <c r="E4" s="209"/>
      <c r="F4" s="209"/>
      <c r="G4" s="209"/>
      <c r="H4" s="209"/>
      <c r="I4" s="209"/>
    </row>
    <row r="5" spans="1:9" x14ac:dyDescent="0.2">
      <c r="A5" s="92"/>
      <c r="B5" s="92"/>
      <c r="C5" s="92"/>
      <c r="D5" s="92"/>
      <c r="E5" s="92"/>
      <c r="F5" s="92"/>
      <c r="G5" s="92"/>
      <c r="H5" s="92"/>
      <c r="I5" s="92"/>
    </row>
    <row r="6" spans="1:9" ht="51" customHeight="1" x14ac:dyDescent="0.2">
      <c r="A6" s="210" t="s">
        <v>102</v>
      </c>
      <c r="B6" s="210"/>
      <c r="C6" s="210"/>
      <c r="D6" s="189" t="s">
        <v>87</v>
      </c>
      <c r="E6" s="189"/>
      <c r="F6" s="189"/>
      <c r="G6" s="189"/>
      <c r="H6" s="189"/>
      <c r="I6" s="189"/>
    </row>
    <row r="7" spans="1:9" ht="3.75" customHeight="1" x14ac:dyDescent="0.2">
      <c r="D7" s="59"/>
      <c r="E7" s="59"/>
      <c r="F7" s="59"/>
      <c r="G7" s="59"/>
    </row>
    <row r="8" spans="1:9" ht="66" customHeight="1" x14ac:dyDescent="0.2">
      <c r="A8" s="189" t="s">
        <v>103</v>
      </c>
      <c r="B8" s="189"/>
      <c r="C8" s="189"/>
      <c r="D8" s="196" t="s">
        <v>592</v>
      </c>
      <c r="E8" s="196"/>
      <c r="F8" s="196"/>
      <c r="G8" s="196"/>
      <c r="H8" s="196"/>
      <c r="I8" s="196"/>
    </row>
    <row r="9" spans="1:9" ht="3.95" customHeight="1" x14ac:dyDescent="0.2">
      <c r="A9" s="94"/>
      <c r="B9" s="94"/>
      <c r="C9" s="94"/>
    </row>
    <row r="10" spans="1:9" ht="41.25" customHeight="1" x14ac:dyDescent="0.2">
      <c r="A10" s="189" t="s">
        <v>105</v>
      </c>
      <c r="B10" s="189"/>
      <c r="C10" s="189"/>
      <c r="D10" s="189"/>
      <c r="E10" s="189"/>
      <c r="F10" s="189"/>
      <c r="G10" s="189"/>
      <c r="H10" s="189"/>
      <c r="I10" s="189"/>
    </row>
    <row r="11" spans="1:9" ht="3.95" customHeight="1" x14ac:dyDescent="0.2"/>
    <row r="12" spans="1:9" ht="30" customHeight="1" x14ac:dyDescent="0.2">
      <c r="A12" s="189" t="s">
        <v>106</v>
      </c>
      <c r="B12" s="189"/>
      <c r="C12" s="189"/>
      <c r="D12" s="189"/>
      <c r="E12" s="189"/>
      <c r="F12" s="189"/>
      <c r="G12" s="189"/>
      <c r="H12" s="189"/>
      <c r="I12" s="189"/>
    </row>
    <row r="13" spans="1:9" ht="3.75" customHeight="1" x14ac:dyDescent="0.2">
      <c r="A13" s="94"/>
      <c r="B13" s="94"/>
      <c r="C13" s="94"/>
      <c r="D13" s="63"/>
      <c r="E13" s="63"/>
      <c r="F13" s="63"/>
      <c r="G13" s="63"/>
      <c r="H13" s="94"/>
      <c r="I13" s="94"/>
    </row>
    <row r="14" spans="1:9" ht="12.75" customHeight="1" x14ac:dyDescent="0.2">
      <c r="A14" s="198" t="s">
        <v>218</v>
      </c>
      <c r="B14" s="198"/>
      <c r="C14" s="198"/>
      <c r="D14" s="198"/>
      <c r="E14" s="198"/>
      <c r="F14" s="198"/>
      <c r="G14" s="198"/>
      <c r="H14" s="198"/>
      <c r="I14" s="198"/>
    </row>
    <row r="15" spans="1:9" ht="100.5" customHeight="1" x14ac:dyDescent="0.2">
      <c r="A15" s="137" t="s">
        <v>108</v>
      </c>
      <c r="B15" s="222" t="s">
        <v>109</v>
      </c>
      <c r="C15" s="223"/>
      <c r="D15" s="222" t="s">
        <v>110</v>
      </c>
      <c r="E15" s="224"/>
      <c r="F15" s="224"/>
      <c r="G15" s="223"/>
      <c r="H15" s="138" t="s">
        <v>113</v>
      </c>
      <c r="I15" s="137" t="s">
        <v>114</v>
      </c>
    </row>
    <row r="16" spans="1:9" x14ac:dyDescent="0.2">
      <c r="A16" s="128" t="s">
        <v>6</v>
      </c>
      <c r="B16" s="255">
        <v>2</v>
      </c>
      <c r="C16" s="226"/>
      <c r="D16" s="255">
        <v>3</v>
      </c>
      <c r="E16" s="227"/>
      <c r="F16" s="227"/>
      <c r="G16" s="226"/>
      <c r="H16" s="129">
        <v>4</v>
      </c>
      <c r="I16" s="129">
        <v>5</v>
      </c>
    </row>
    <row r="17" spans="1:9" ht="12.75" customHeight="1" x14ac:dyDescent="0.2">
      <c r="A17" s="65" t="s">
        <v>6</v>
      </c>
      <c r="B17" s="228" t="s">
        <v>115</v>
      </c>
      <c r="C17" s="229"/>
      <c r="D17" s="228" t="s">
        <v>593</v>
      </c>
      <c r="E17" s="230"/>
      <c r="F17" s="230"/>
      <c r="G17" s="229"/>
      <c r="H17" s="66"/>
      <c r="I17" s="67"/>
    </row>
    <row r="18" spans="1:9" ht="196.35" customHeight="1" x14ac:dyDescent="0.2">
      <c r="A18" s="85" t="s">
        <v>117</v>
      </c>
      <c r="B18" s="211" t="s">
        <v>188</v>
      </c>
      <c r="C18" s="212"/>
      <c r="D18" s="213" t="s">
        <v>594</v>
      </c>
      <c r="E18" s="214"/>
      <c r="F18" s="214"/>
      <c r="G18" s="215"/>
      <c r="H18" s="87" t="s">
        <v>595</v>
      </c>
      <c r="I18" s="88">
        <f>ROUND(37.35 * 1 * 540 * 4 * 1.2,2)</f>
        <v>96811.199999999997</v>
      </c>
    </row>
    <row r="19" spans="1:9" ht="15.75" customHeight="1" x14ac:dyDescent="0.2">
      <c r="A19" s="71" t="s">
        <v>129</v>
      </c>
      <c r="B19" s="216" t="s">
        <v>130</v>
      </c>
      <c r="C19" s="217"/>
      <c r="D19" s="216"/>
      <c r="E19" s="218"/>
      <c r="F19" s="218"/>
      <c r="G19" s="217"/>
      <c r="H19" s="72"/>
      <c r="I19" s="73"/>
    </row>
    <row r="20" spans="1:9" ht="38.25" customHeight="1" x14ac:dyDescent="0.2">
      <c r="A20" s="74" t="s">
        <v>129</v>
      </c>
      <c r="B20" s="219" t="s">
        <v>131</v>
      </c>
      <c r="C20" s="220"/>
      <c r="D20" s="219" t="s">
        <v>132</v>
      </c>
      <c r="E20" s="221"/>
      <c r="F20" s="221"/>
      <c r="G20" s="220"/>
      <c r="H20" s="75"/>
      <c r="I20" s="76"/>
    </row>
    <row r="21" spans="1:9" ht="89.25" customHeight="1" x14ac:dyDescent="0.2">
      <c r="A21" s="96" t="s">
        <v>129</v>
      </c>
      <c r="B21" s="231" t="s">
        <v>135</v>
      </c>
      <c r="C21" s="232"/>
      <c r="D21" s="231" t="s">
        <v>144</v>
      </c>
      <c r="E21" s="256"/>
      <c r="F21" s="256"/>
      <c r="G21" s="232"/>
      <c r="H21" s="97"/>
      <c r="I21" s="80"/>
    </row>
    <row r="22" spans="1:9" ht="209.1" customHeight="1" x14ac:dyDescent="0.2">
      <c r="A22" s="90" t="s">
        <v>121</v>
      </c>
      <c r="B22" s="236" t="s">
        <v>596</v>
      </c>
      <c r="C22" s="237"/>
      <c r="D22" s="238" t="s">
        <v>948</v>
      </c>
      <c r="E22" s="189"/>
      <c r="F22" s="189"/>
      <c r="G22" s="239"/>
      <c r="H22" s="81" t="s">
        <v>949</v>
      </c>
      <c r="I22" s="82">
        <f>ROUND((26.11 + ((37.05 - 26.11) / (7 - 5)) * (5.128 - 5)) * 1 * 540 * 4 * 1.25 * 1.2,2)</f>
        <v>86864.92</v>
      </c>
    </row>
    <row r="23" spans="1:9" ht="15.75" customHeight="1" x14ac:dyDescent="0.2">
      <c r="A23" s="71" t="s">
        <v>129</v>
      </c>
      <c r="B23" s="216" t="s">
        <v>130</v>
      </c>
      <c r="C23" s="217"/>
      <c r="D23" s="216"/>
      <c r="E23" s="218"/>
      <c r="F23" s="218"/>
      <c r="G23" s="217"/>
      <c r="H23" s="72"/>
      <c r="I23" s="73"/>
    </row>
    <row r="24" spans="1:9" ht="38.25" customHeight="1" x14ac:dyDescent="0.2">
      <c r="A24" s="74" t="s">
        <v>129</v>
      </c>
      <c r="B24" s="219" t="s">
        <v>131</v>
      </c>
      <c r="C24" s="220"/>
      <c r="D24" s="219" t="s">
        <v>132</v>
      </c>
      <c r="E24" s="221"/>
      <c r="F24" s="221"/>
      <c r="G24" s="220"/>
      <c r="H24" s="75"/>
      <c r="I24" s="76"/>
    </row>
    <row r="25" spans="1:9" ht="38.25" customHeight="1" x14ac:dyDescent="0.2">
      <c r="A25" s="74" t="s">
        <v>129</v>
      </c>
      <c r="B25" s="219" t="s">
        <v>950</v>
      </c>
      <c r="C25" s="220"/>
      <c r="D25" s="219" t="s">
        <v>951</v>
      </c>
      <c r="E25" s="221"/>
      <c r="F25" s="221"/>
      <c r="G25" s="220"/>
      <c r="H25" s="75"/>
      <c r="I25" s="76"/>
    </row>
    <row r="26" spans="1:9" ht="89.25" customHeight="1" x14ac:dyDescent="0.2">
      <c r="A26" s="96" t="s">
        <v>129</v>
      </c>
      <c r="B26" s="231" t="s">
        <v>135</v>
      </c>
      <c r="C26" s="232"/>
      <c r="D26" s="231" t="s">
        <v>136</v>
      </c>
      <c r="E26" s="256"/>
      <c r="F26" s="256"/>
      <c r="G26" s="232"/>
      <c r="H26" s="97"/>
      <c r="I26" s="80"/>
    </row>
    <row r="27" spans="1:9" ht="209.1" customHeight="1" x14ac:dyDescent="0.2">
      <c r="A27" s="90" t="s">
        <v>123</v>
      </c>
      <c r="B27" s="236" t="s">
        <v>597</v>
      </c>
      <c r="C27" s="237"/>
      <c r="D27" s="238" t="s">
        <v>952</v>
      </c>
      <c r="E27" s="189"/>
      <c r="F27" s="189"/>
      <c r="G27" s="239"/>
      <c r="H27" s="81" t="s">
        <v>953</v>
      </c>
      <c r="I27" s="82">
        <f>ROUND((19.57 + ((21.58 - 19.57) / (7 - 5)) * (5.128 - 5)) * 1 * 540 * 4 * 1.5 * 1.2,2)</f>
        <v>76588.31</v>
      </c>
    </row>
    <row r="28" spans="1:9" ht="15.75" customHeight="1" x14ac:dyDescent="0.2">
      <c r="A28" s="71" t="s">
        <v>129</v>
      </c>
      <c r="B28" s="216" t="s">
        <v>130</v>
      </c>
      <c r="C28" s="217"/>
      <c r="D28" s="216"/>
      <c r="E28" s="218"/>
      <c r="F28" s="218"/>
      <c r="G28" s="217"/>
      <c r="H28" s="72"/>
      <c r="I28" s="73"/>
    </row>
    <row r="29" spans="1:9" ht="38.25" customHeight="1" x14ac:dyDescent="0.2">
      <c r="A29" s="74" t="s">
        <v>129</v>
      </c>
      <c r="B29" s="219" t="s">
        <v>131</v>
      </c>
      <c r="C29" s="220"/>
      <c r="D29" s="219" t="s">
        <v>132</v>
      </c>
      <c r="E29" s="221"/>
      <c r="F29" s="221"/>
      <c r="G29" s="220"/>
      <c r="H29" s="75"/>
      <c r="I29" s="76"/>
    </row>
    <row r="30" spans="1:9" ht="38.25" customHeight="1" x14ac:dyDescent="0.2">
      <c r="A30" s="74" t="s">
        <v>129</v>
      </c>
      <c r="B30" s="219" t="s">
        <v>950</v>
      </c>
      <c r="C30" s="220"/>
      <c r="D30" s="219" t="s">
        <v>954</v>
      </c>
      <c r="E30" s="221"/>
      <c r="F30" s="221"/>
      <c r="G30" s="220"/>
      <c r="H30" s="75"/>
      <c r="I30" s="76"/>
    </row>
    <row r="31" spans="1:9" ht="89.25" customHeight="1" x14ac:dyDescent="0.2">
      <c r="A31" s="96" t="s">
        <v>129</v>
      </c>
      <c r="B31" s="231" t="s">
        <v>135</v>
      </c>
      <c r="C31" s="232"/>
      <c r="D31" s="231" t="s">
        <v>136</v>
      </c>
      <c r="E31" s="256"/>
      <c r="F31" s="256"/>
      <c r="G31" s="232"/>
      <c r="H31" s="97"/>
      <c r="I31" s="80"/>
    </row>
    <row r="32" spans="1:9" ht="209.1" customHeight="1" x14ac:dyDescent="0.2">
      <c r="A32" s="90" t="s">
        <v>230</v>
      </c>
      <c r="B32" s="236" t="s">
        <v>598</v>
      </c>
      <c r="C32" s="237"/>
      <c r="D32" s="238" t="s">
        <v>955</v>
      </c>
      <c r="E32" s="189"/>
      <c r="F32" s="189"/>
      <c r="G32" s="239"/>
      <c r="H32" s="81" t="s">
        <v>956</v>
      </c>
      <c r="I32" s="82">
        <f>ROUND((8.64 + ((9.61 - 8.64) / (7 - 5)) * (5.128 - 5)) * 1 * 540 * 4 * 1.4 * 1.2,2)</f>
        <v>31578.11</v>
      </c>
    </row>
    <row r="33" spans="1:9" ht="15.75" customHeight="1" x14ac:dyDescent="0.2">
      <c r="A33" s="71" t="s">
        <v>129</v>
      </c>
      <c r="B33" s="216" t="s">
        <v>130</v>
      </c>
      <c r="C33" s="217"/>
      <c r="D33" s="216"/>
      <c r="E33" s="218"/>
      <c r="F33" s="218"/>
      <c r="G33" s="217"/>
      <c r="H33" s="72"/>
      <c r="I33" s="73"/>
    </row>
    <row r="34" spans="1:9" ht="38.25" customHeight="1" x14ac:dyDescent="0.2">
      <c r="A34" s="74" t="s">
        <v>129</v>
      </c>
      <c r="B34" s="219" t="s">
        <v>131</v>
      </c>
      <c r="C34" s="220"/>
      <c r="D34" s="219" t="s">
        <v>132</v>
      </c>
      <c r="E34" s="221"/>
      <c r="F34" s="221"/>
      <c r="G34" s="220"/>
      <c r="H34" s="75"/>
      <c r="I34" s="76"/>
    </row>
    <row r="35" spans="1:9" ht="38.25" customHeight="1" x14ac:dyDescent="0.2">
      <c r="A35" s="74" t="s">
        <v>129</v>
      </c>
      <c r="B35" s="219" t="s">
        <v>950</v>
      </c>
      <c r="C35" s="220"/>
      <c r="D35" s="219" t="s">
        <v>957</v>
      </c>
      <c r="E35" s="221"/>
      <c r="F35" s="221"/>
      <c r="G35" s="220"/>
      <c r="H35" s="75"/>
      <c r="I35" s="76"/>
    </row>
    <row r="36" spans="1:9" ht="89.25" customHeight="1" x14ac:dyDescent="0.2">
      <c r="A36" s="96" t="s">
        <v>129</v>
      </c>
      <c r="B36" s="231" t="s">
        <v>135</v>
      </c>
      <c r="C36" s="232"/>
      <c r="D36" s="231" t="s">
        <v>136</v>
      </c>
      <c r="E36" s="256"/>
      <c r="F36" s="256"/>
      <c r="G36" s="232"/>
      <c r="H36" s="97"/>
      <c r="I36" s="80"/>
    </row>
    <row r="37" spans="1:9" ht="196.35" customHeight="1" x14ac:dyDescent="0.2">
      <c r="A37" s="206" t="s">
        <v>365</v>
      </c>
      <c r="B37" s="236" t="s">
        <v>599</v>
      </c>
      <c r="C37" s="237"/>
      <c r="D37" s="238" t="s">
        <v>958</v>
      </c>
      <c r="E37" s="189"/>
      <c r="F37" s="189"/>
      <c r="G37" s="239"/>
      <c r="H37" s="202" t="s">
        <v>959</v>
      </c>
      <c r="I37" s="205">
        <f>ROUND((24.17 + ((26.9 - 24.17) / (7 - 5)) * (5.128 - 5)) * 1 * 540 * 4 * 1.38 * 3 * 1.2,2)</f>
        <v>261240.27</v>
      </c>
    </row>
    <row r="38" spans="1:9" ht="12.75" customHeight="1" x14ac:dyDescent="0.2">
      <c r="A38" s="206"/>
      <c r="B38" s="236"/>
      <c r="C38" s="237"/>
      <c r="D38" s="238"/>
      <c r="E38" s="189"/>
      <c r="F38" s="189"/>
      <c r="G38" s="239"/>
      <c r="H38" s="202"/>
      <c r="I38" s="205"/>
    </row>
    <row r="39" spans="1:9" ht="15.75" customHeight="1" x14ac:dyDescent="0.2">
      <c r="A39" s="71" t="s">
        <v>129</v>
      </c>
      <c r="B39" s="216" t="s">
        <v>130</v>
      </c>
      <c r="C39" s="217"/>
      <c r="D39" s="216"/>
      <c r="E39" s="218"/>
      <c r="F39" s="218"/>
      <c r="G39" s="217"/>
      <c r="H39" s="72"/>
      <c r="I39" s="73"/>
    </row>
    <row r="40" spans="1:9" ht="38.25" customHeight="1" x14ac:dyDescent="0.2">
      <c r="A40" s="74" t="s">
        <v>129</v>
      </c>
      <c r="B40" s="219" t="s">
        <v>131</v>
      </c>
      <c r="C40" s="220"/>
      <c r="D40" s="219" t="s">
        <v>132</v>
      </c>
      <c r="E40" s="221"/>
      <c r="F40" s="221"/>
      <c r="G40" s="220"/>
      <c r="H40" s="75"/>
      <c r="I40" s="76"/>
    </row>
    <row r="41" spans="1:9" ht="38.25" customHeight="1" x14ac:dyDescent="0.2">
      <c r="A41" s="74" t="s">
        <v>129</v>
      </c>
      <c r="B41" s="219" t="s">
        <v>950</v>
      </c>
      <c r="C41" s="220"/>
      <c r="D41" s="219" t="s">
        <v>960</v>
      </c>
      <c r="E41" s="221"/>
      <c r="F41" s="221"/>
      <c r="G41" s="220"/>
      <c r="H41" s="75"/>
      <c r="I41" s="76"/>
    </row>
    <row r="42" spans="1:9" ht="51" customHeight="1" x14ac:dyDescent="0.2">
      <c r="A42" s="74" t="s">
        <v>129</v>
      </c>
      <c r="B42" s="219" t="s">
        <v>600</v>
      </c>
      <c r="C42" s="220"/>
      <c r="D42" s="219" t="s">
        <v>961</v>
      </c>
      <c r="E42" s="221"/>
      <c r="F42" s="221"/>
      <c r="G42" s="220"/>
      <c r="H42" s="75"/>
      <c r="I42" s="76"/>
    </row>
    <row r="43" spans="1:9" ht="89.25" customHeight="1" x14ac:dyDescent="0.2">
      <c r="A43" s="96" t="s">
        <v>129</v>
      </c>
      <c r="B43" s="231" t="s">
        <v>135</v>
      </c>
      <c r="C43" s="232"/>
      <c r="D43" s="231" t="s">
        <v>962</v>
      </c>
      <c r="E43" s="256"/>
      <c r="F43" s="256"/>
      <c r="G43" s="232"/>
      <c r="H43" s="97"/>
      <c r="I43" s="80"/>
    </row>
    <row r="44" spans="1:9" ht="25.5" customHeight="1" x14ac:dyDescent="0.2">
      <c r="A44" s="96" t="s">
        <v>367</v>
      </c>
      <c r="B44" s="243" t="s">
        <v>601</v>
      </c>
      <c r="C44" s="244"/>
      <c r="D44" s="243"/>
      <c r="E44" s="245"/>
      <c r="F44" s="245"/>
      <c r="G44" s="244"/>
      <c r="H44" s="83"/>
      <c r="I44" s="84">
        <f>ROUND((SUM($I$18:$I$37)),2)</f>
        <v>553082.81000000006</v>
      </c>
    </row>
    <row r="45" spans="1:9" ht="25.5" customHeight="1" x14ac:dyDescent="0.2">
      <c r="A45" s="65" t="s">
        <v>370</v>
      </c>
      <c r="B45" s="228" t="s">
        <v>602</v>
      </c>
      <c r="C45" s="229"/>
      <c r="D45" s="228"/>
      <c r="E45" s="230"/>
      <c r="F45" s="230"/>
      <c r="G45" s="229"/>
      <c r="H45" s="66"/>
      <c r="I45" s="70">
        <f>ROUND(($I$44),2)</f>
        <v>553082.81000000006</v>
      </c>
    </row>
    <row r="46" spans="1:9" ht="25.5" customHeight="1" x14ac:dyDescent="0.2">
      <c r="A46" s="65" t="s">
        <v>7</v>
      </c>
      <c r="B46" s="228" t="s">
        <v>115</v>
      </c>
      <c r="C46" s="229"/>
      <c r="D46" s="228" t="s">
        <v>603</v>
      </c>
      <c r="E46" s="230"/>
      <c r="F46" s="230"/>
      <c r="G46" s="229"/>
      <c r="H46" s="66"/>
      <c r="I46" s="67"/>
    </row>
    <row r="47" spans="1:9" ht="196.35" customHeight="1" x14ac:dyDescent="0.2">
      <c r="A47" s="252" t="s">
        <v>125</v>
      </c>
      <c r="B47" s="211" t="s">
        <v>604</v>
      </c>
      <c r="C47" s="212"/>
      <c r="D47" s="213" t="s">
        <v>963</v>
      </c>
      <c r="E47" s="214"/>
      <c r="F47" s="214"/>
      <c r="G47" s="215"/>
      <c r="H47" s="253" t="s">
        <v>964</v>
      </c>
      <c r="I47" s="254">
        <f>ROUND((14.12 + ((17.74 - 14.12) / (7 - 5)) * (5.128 - 5)) * 1 * 540 * 4 * 1.2,2)</f>
        <v>37199.550000000003</v>
      </c>
    </row>
    <row r="48" spans="1:9" ht="12.75" customHeight="1" x14ac:dyDescent="0.2">
      <c r="A48" s="206"/>
      <c r="B48" s="236"/>
      <c r="C48" s="237"/>
      <c r="D48" s="238"/>
      <c r="E48" s="189"/>
      <c r="F48" s="189"/>
      <c r="G48" s="239"/>
      <c r="H48" s="202"/>
      <c r="I48" s="205"/>
    </row>
    <row r="49" spans="1:9" ht="15.75" customHeight="1" x14ac:dyDescent="0.2">
      <c r="A49" s="71" t="s">
        <v>129</v>
      </c>
      <c r="B49" s="216" t="s">
        <v>130</v>
      </c>
      <c r="C49" s="217"/>
      <c r="D49" s="216"/>
      <c r="E49" s="218"/>
      <c r="F49" s="218"/>
      <c r="G49" s="217"/>
      <c r="H49" s="72"/>
      <c r="I49" s="73"/>
    </row>
    <row r="50" spans="1:9" ht="38.25" customHeight="1" x14ac:dyDescent="0.2">
      <c r="A50" s="74" t="s">
        <v>129</v>
      </c>
      <c r="B50" s="219" t="s">
        <v>131</v>
      </c>
      <c r="C50" s="220"/>
      <c r="D50" s="219" t="s">
        <v>132</v>
      </c>
      <c r="E50" s="221"/>
      <c r="F50" s="221"/>
      <c r="G50" s="220"/>
      <c r="H50" s="75"/>
      <c r="I50" s="76"/>
    </row>
    <row r="51" spans="1:9" ht="89.25" customHeight="1" x14ac:dyDescent="0.2">
      <c r="A51" s="96" t="s">
        <v>129</v>
      </c>
      <c r="B51" s="231" t="s">
        <v>135</v>
      </c>
      <c r="C51" s="232"/>
      <c r="D51" s="231" t="s">
        <v>144</v>
      </c>
      <c r="E51" s="256"/>
      <c r="F51" s="256"/>
      <c r="G51" s="232"/>
      <c r="H51" s="97"/>
      <c r="I51" s="80"/>
    </row>
    <row r="52" spans="1:9" ht="196.35" customHeight="1" x14ac:dyDescent="0.2">
      <c r="A52" s="90" t="s">
        <v>139</v>
      </c>
      <c r="B52" s="236" t="s">
        <v>283</v>
      </c>
      <c r="C52" s="237"/>
      <c r="D52" s="238" t="s">
        <v>605</v>
      </c>
      <c r="E52" s="189"/>
      <c r="F52" s="189"/>
      <c r="G52" s="239"/>
      <c r="H52" s="81" t="s">
        <v>606</v>
      </c>
      <c r="I52" s="82">
        <f>ROUND(53.28 * 1 * 540 * 4 * 1.1 * 1.2,2)</f>
        <v>151911.94</v>
      </c>
    </row>
    <row r="53" spans="1:9" ht="15.75" customHeight="1" x14ac:dyDescent="0.2">
      <c r="A53" s="71" t="s">
        <v>129</v>
      </c>
      <c r="B53" s="216" t="s">
        <v>130</v>
      </c>
      <c r="C53" s="217"/>
      <c r="D53" s="216"/>
      <c r="E53" s="218"/>
      <c r="F53" s="218"/>
      <c r="G53" s="217"/>
      <c r="H53" s="72"/>
      <c r="I53" s="73"/>
    </row>
    <row r="54" spans="1:9" ht="38.25" customHeight="1" x14ac:dyDescent="0.2">
      <c r="A54" s="74" t="s">
        <v>129</v>
      </c>
      <c r="B54" s="219" t="s">
        <v>131</v>
      </c>
      <c r="C54" s="220"/>
      <c r="D54" s="219" t="s">
        <v>132</v>
      </c>
      <c r="E54" s="221"/>
      <c r="F54" s="221"/>
      <c r="G54" s="220"/>
      <c r="H54" s="75"/>
      <c r="I54" s="76"/>
    </row>
    <row r="55" spans="1:9" ht="63.75" customHeight="1" x14ac:dyDescent="0.2">
      <c r="A55" s="74" t="s">
        <v>129</v>
      </c>
      <c r="B55" s="219" t="s">
        <v>281</v>
      </c>
      <c r="C55" s="220"/>
      <c r="D55" s="219" t="s">
        <v>282</v>
      </c>
      <c r="E55" s="221"/>
      <c r="F55" s="221"/>
      <c r="G55" s="220"/>
      <c r="H55" s="75"/>
      <c r="I55" s="76"/>
    </row>
    <row r="56" spans="1:9" ht="89.25" customHeight="1" x14ac:dyDescent="0.2">
      <c r="A56" s="96" t="s">
        <v>129</v>
      </c>
      <c r="B56" s="231" t="s">
        <v>135</v>
      </c>
      <c r="C56" s="232"/>
      <c r="D56" s="231" t="s">
        <v>136</v>
      </c>
      <c r="E56" s="256"/>
      <c r="F56" s="256"/>
      <c r="G56" s="232"/>
      <c r="H56" s="97"/>
      <c r="I56" s="80"/>
    </row>
    <row r="57" spans="1:9" ht="25.5" customHeight="1" x14ac:dyDescent="0.2">
      <c r="A57" s="96" t="s">
        <v>145</v>
      </c>
      <c r="B57" s="243" t="s">
        <v>607</v>
      </c>
      <c r="C57" s="244"/>
      <c r="D57" s="243"/>
      <c r="E57" s="245"/>
      <c r="F57" s="245"/>
      <c r="G57" s="244"/>
      <c r="H57" s="83"/>
      <c r="I57" s="84">
        <f>ROUND((SUM($I$47:$I$52)),2)</f>
        <v>189111.49</v>
      </c>
    </row>
    <row r="58" spans="1:9" ht="25.5" customHeight="1" x14ac:dyDescent="0.2">
      <c r="A58" s="65" t="s">
        <v>147</v>
      </c>
      <c r="B58" s="228" t="s">
        <v>608</v>
      </c>
      <c r="C58" s="229"/>
      <c r="D58" s="228"/>
      <c r="E58" s="230"/>
      <c r="F58" s="230"/>
      <c r="G58" s="229"/>
      <c r="H58" s="66"/>
      <c r="I58" s="70">
        <f>ROUND(($I$57),2)</f>
        <v>189111.49</v>
      </c>
    </row>
    <row r="59" spans="1:9" ht="12.75" customHeight="1" x14ac:dyDescent="0.2">
      <c r="A59" s="65" t="s">
        <v>23</v>
      </c>
      <c r="B59" s="228" t="s">
        <v>115</v>
      </c>
      <c r="C59" s="229"/>
      <c r="D59" s="228" t="s">
        <v>609</v>
      </c>
      <c r="E59" s="230"/>
      <c r="F59" s="230"/>
      <c r="G59" s="229"/>
      <c r="H59" s="66"/>
      <c r="I59" s="67"/>
    </row>
    <row r="60" spans="1:9" ht="145.35" customHeight="1" x14ac:dyDescent="0.2">
      <c r="A60" s="85" t="s">
        <v>149</v>
      </c>
      <c r="B60" s="211" t="s">
        <v>610</v>
      </c>
      <c r="C60" s="212"/>
      <c r="D60" s="213" t="s">
        <v>611</v>
      </c>
      <c r="E60" s="214"/>
      <c r="F60" s="214"/>
      <c r="G60" s="215"/>
      <c r="H60" s="87" t="s">
        <v>612</v>
      </c>
      <c r="I60" s="88">
        <f>ROUND(1.03 * 15 * 540 * 4,2)</f>
        <v>33372</v>
      </c>
    </row>
    <row r="61" spans="1:9" ht="15.75" customHeight="1" x14ac:dyDescent="0.2">
      <c r="A61" s="71" t="s">
        <v>129</v>
      </c>
      <c r="B61" s="216" t="s">
        <v>130</v>
      </c>
      <c r="C61" s="217"/>
      <c r="D61" s="216"/>
      <c r="E61" s="218"/>
      <c r="F61" s="218"/>
      <c r="G61" s="217"/>
      <c r="H61" s="72"/>
      <c r="I61" s="73"/>
    </row>
    <row r="62" spans="1:9" ht="38.25" customHeight="1" x14ac:dyDescent="0.2">
      <c r="A62" s="96" t="s">
        <v>129</v>
      </c>
      <c r="B62" s="231" t="s">
        <v>131</v>
      </c>
      <c r="C62" s="232"/>
      <c r="D62" s="231" t="s">
        <v>132</v>
      </c>
      <c r="E62" s="256"/>
      <c r="F62" s="256"/>
      <c r="G62" s="232"/>
      <c r="H62" s="97"/>
      <c r="I62" s="80"/>
    </row>
    <row r="63" spans="1:9" ht="145.35" customHeight="1" x14ac:dyDescent="0.2">
      <c r="A63" s="90" t="s">
        <v>160</v>
      </c>
      <c r="B63" s="236" t="s">
        <v>613</v>
      </c>
      <c r="C63" s="237"/>
      <c r="D63" s="238" t="s">
        <v>614</v>
      </c>
      <c r="E63" s="189"/>
      <c r="F63" s="189"/>
      <c r="G63" s="239"/>
      <c r="H63" s="81" t="s">
        <v>615</v>
      </c>
      <c r="I63" s="82">
        <f>ROUND(0.82 * 20 * 540 * 4,2)</f>
        <v>35424</v>
      </c>
    </row>
    <row r="64" spans="1:9" ht="15.75" customHeight="1" x14ac:dyDescent="0.2">
      <c r="A64" s="71" t="s">
        <v>129</v>
      </c>
      <c r="B64" s="216" t="s">
        <v>130</v>
      </c>
      <c r="C64" s="217"/>
      <c r="D64" s="216"/>
      <c r="E64" s="218"/>
      <c r="F64" s="218"/>
      <c r="G64" s="217"/>
      <c r="H64" s="72"/>
      <c r="I64" s="73"/>
    </row>
    <row r="65" spans="1:9" ht="38.25" customHeight="1" x14ac:dyDescent="0.2">
      <c r="A65" s="96" t="s">
        <v>129</v>
      </c>
      <c r="B65" s="231" t="s">
        <v>131</v>
      </c>
      <c r="C65" s="232"/>
      <c r="D65" s="231" t="s">
        <v>132</v>
      </c>
      <c r="E65" s="256"/>
      <c r="F65" s="256"/>
      <c r="G65" s="232"/>
      <c r="H65" s="97"/>
      <c r="I65" s="80"/>
    </row>
    <row r="66" spans="1:9" ht="145.35" customHeight="1" x14ac:dyDescent="0.2">
      <c r="A66" s="90" t="s">
        <v>166</v>
      </c>
      <c r="B66" s="236" t="s">
        <v>616</v>
      </c>
      <c r="C66" s="237"/>
      <c r="D66" s="238" t="s">
        <v>617</v>
      </c>
      <c r="E66" s="189"/>
      <c r="F66" s="189"/>
      <c r="G66" s="239"/>
      <c r="H66" s="81" t="s">
        <v>618</v>
      </c>
      <c r="I66" s="82">
        <f>ROUND(0.62 * 10 * 540 * 4 * 1.2,2)</f>
        <v>16070.4</v>
      </c>
    </row>
    <row r="67" spans="1:9" ht="15.75" customHeight="1" x14ac:dyDescent="0.2">
      <c r="A67" s="71" t="s">
        <v>129</v>
      </c>
      <c r="B67" s="216" t="s">
        <v>130</v>
      </c>
      <c r="C67" s="217"/>
      <c r="D67" s="216"/>
      <c r="E67" s="218"/>
      <c r="F67" s="218"/>
      <c r="G67" s="217"/>
      <c r="H67" s="72"/>
      <c r="I67" s="73"/>
    </row>
    <row r="68" spans="1:9" ht="38.25" customHeight="1" x14ac:dyDescent="0.2">
      <c r="A68" s="74" t="s">
        <v>129</v>
      </c>
      <c r="B68" s="219" t="s">
        <v>131</v>
      </c>
      <c r="C68" s="220"/>
      <c r="D68" s="219" t="s">
        <v>132</v>
      </c>
      <c r="E68" s="221"/>
      <c r="F68" s="221"/>
      <c r="G68" s="220"/>
      <c r="H68" s="75"/>
      <c r="I68" s="76"/>
    </row>
    <row r="69" spans="1:9" ht="89.25" customHeight="1" x14ac:dyDescent="0.2">
      <c r="A69" s="96" t="s">
        <v>129</v>
      </c>
      <c r="B69" s="231" t="s">
        <v>135</v>
      </c>
      <c r="C69" s="232"/>
      <c r="D69" s="231" t="s">
        <v>144</v>
      </c>
      <c r="E69" s="256"/>
      <c r="F69" s="256"/>
      <c r="G69" s="232"/>
      <c r="H69" s="97"/>
      <c r="I69" s="80"/>
    </row>
    <row r="70" spans="1:9" ht="25.5" customHeight="1" x14ac:dyDescent="0.2">
      <c r="A70" s="96" t="s">
        <v>171</v>
      </c>
      <c r="B70" s="243" t="s">
        <v>619</v>
      </c>
      <c r="C70" s="244"/>
      <c r="D70" s="243"/>
      <c r="E70" s="245"/>
      <c r="F70" s="245"/>
      <c r="G70" s="244"/>
      <c r="H70" s="83"/>
      <c r="I70" s="84">
        <f>ROUND((SUM($I$60:$I$66)),2)</f>
        <v>84866.4</v>
      </c>
    </row>
    <row r="71" spans="1:9" ht="25.5" customHeight="1" x14ac:dyDescent="0.2">
      <c r="A71" s="65" t="s">
        <v>180</v>
      </c>
      <c r="B71" s="228" t="s">
        <v>620</v>
      </c>
      <c r="C71" s="229"/>
      <c r="D71" s="228"/>
      <c r="E71" s="230"/>
      <c r="F71" s="230"/>
      <c r="G71" s="229"/>
      <c r="H71" s="66"/>
      <c r="I71" s="70">
        <f>ROUND(($I$70),2)</f>
        <v>84866.4</v>
      </c>
    </row>
    <row r="72" spans="1:9" ht="12.75" customHeight="1" x14ac:dyDescent="0.2">
      <c r="A72" s="65" t="s">
        <v>24</v>
      </c>
      <c r="B72" s="228" t="s">
        <v>213</v>
      </c>
      <c r="C72" s="229"/>
      <c r="D72" s="228"/>
      <c r="E72" s="230"/>
      <c r="F72" s="230"/>
      <c r="G72" s="229"/>
      <c r="H72" s="66"/>
      <c r="I72" s="70">
        <f>ROUND(($I$45 + $I$58 + $I$71),2)</f>
        <v>827060.7</v>
      </c>
    </row>
    <row r="73" spans="1:9" ht="12.75" customHeight="1" x14ac:dyDescent="0.2">
      <c r="A73" s="65" t="s">
        <v>25</v>
      </c>
      <c r="B73" s="228" t="s">
        <v>214</v>
      </c>
      <c r="C73" s="229"/>
      <c r="D73" s="228"/>
      <c r="E73" s="230"/>
      <c r="F73" s="230"/>
      <c r="G73" s="229"/>
      <c r="H73" s="66"/>
      <c r="I73" s="70">
        <f>ROUND(($I$72),2)</f>
        <v>827060.7</v>
      </c>
    </row>
    <row r="74" spans="1:9" ht="12.75" customHeight="1" x14ac:dyDescent="0.2"/>
    <row r="75" spans="1:9" s="93" customFormat="1" ht="24.95" customHeight="1" x14ac:dyDescent="0.25">
      <c r="A75" s="189" t="s">
        <v>215</v>
      </c>
      <c r="B75" s="189"/>
      <c r="C75" s="189"/>
      <c r="D75" s="189"/>
      <c r="E75" s="189"/>
      <c r="F75" s="189"/>
      <c r="G75" s="189"/>
      <c r="H75" s="189"/>
      <c r="I75" s="189"/>
    </row>
    <row r="76" spans="1:9" ht="12.75" customHeight="1" x14ac:dyDescent="0.2">
      <c r="D76" s="95"/>
    </row>
    <row r="77" spans="1:9" x14ac:dyDescent="0.2">
      <c r="H77" s="107" t="s">
        <v>985</v>
      </c>
      <c r="I77" s="159">
        <f>I58</f>
        <v>189111.49</v>
      </c>
    </row>
    <row r="78" spans="1:9" x14ac:dyDescent="0.2">
      <c r="H78" s="107" t="s">
        <v>986</v>
      </c>
      <c r="I78" s="159">
        <f>I71</f>
        <v>84866.4</v>
      </c>
    </row>
    <row r="79" spans="1:9" ht="25.5" x14ac:dyDescent="0.2">
      <c r="H79" s="107" t="s">
        <v>987</v>
      </c>
      <c r="I79" s="159">
        <f>I73-I77-I78</f>
        <v>553082.80999999994</v>
      </c>
    </row>
  </sheetData>
  <mergeCells count="135">
    <mergeCell ref="B72:C72"/>
    <mergeCell ref="D72:G72"/>
    <mergeCell ref="B73:C73"/>
    <mergeCell ref="D73:G73"/>
    <mergeCell ref="A75:C75"/>
    <mergeCell ref="D75:I75"/>
    <mergeCell ref="B69:C69"/>
    <mergeCell ref="D69:G69"/>
    <mergeCell ref="B70:C70"/>
    <mergeCell ref="D70:G70"/>
    <mergeCell ref="B71:C71"/>
    <mergeCell ref="D71:G71"/>
    <mergeCell ref="B66:C66"/>
    <mergeCell ref="D66:G66"/>
    <mergeCell ref="B67:C67"/>
    <mergeCell ref="D67:G67"/>
    <mergeCell ref="B68:C68"/>
    <mergeCell ref="D68:G68"/>
    <mergeCell ref="B63:C63"/>
    <mergeCell ref="D63:G63"/>
    <mergeCell ref="B64:C64"/>
    <mergeCell ref="D64:G64"/>
    <mergeCell ref="B65:C65"/>
    <mergeCell ref="D65:G65"/>
    <mergeCell ref="B60:C60"/>
    <mergeCell ref="D60:G60"/>
    <mergeCell ref="B61:C61"/>
    <mergeCell ref="D61:G61"/>
    <mergeCell ref="B62:C62"/>
    <mergeCell ref="D62:G62"/>
    <mergeCell ref="B57:C57"/>
    <mergeCell ref="D57:G57"/>
    <mergeCell ref="B58:C58"/>
    <mergeCell ref="D58:G58"/>
    <mergeCell ref="B59:C59"/>
    <mergeCell ref="D59:G59"/>
    <mergeCell ref="B54:C54"/>
    <mergeCell ref="D54:G54"/>
    <mergeCell ref="B55:C55"/>
    <mergeCell ref="D55:G55"/>
    <mergeCell ref="B56:C56"/>
    <mergeCell ref="D56:G56"/>
    <mergeCell ref="B51:C51"/>
    <mergeCell ref="D51:G51"/>
    <mergeCell ref="B52:C52"/>
    <mergeCell ref="D52:G52"/>
    <mergeCell ref="B53:C53"/>
    <mergeCell ref="D53:G53"/>
    <mergeCell ref="H47:H48"/>
    <mergeCell ref="I47:I48"/>
    <mergeCell ref="B49:C49"/>
    <mergeCell ref="D49:G49"/>
    <mergeCell ref="B50:C50"/>
    <mergeCell ref="D50:G50"/>
    <mergeCell ref="B45:C45"/>
    <mergeCell ref="D45:G45"/>
    <mergeCell ref="B46:C46"/>
    <mergeCell ref="D46:G46"/>
    <mergeCell ref="A47:A48"/>
    <mergeCell ref="B47:C48"/>
    <mergeCell ref="D47:G48"/>
    <mergeCell ref="B42:C42"/>
    <mergeCell ref="D42:G42"/>
    <mergeCell ref="B43:C43"/>
    <mergeCell ref="D43:G43"/>
    <mergeCell ref="B44:C44"/>
    <mergeCell ref="D44:G44"/>
    <mergeCell ref="I37:I38"/>
    <mergeCell ref="B39:C39"/>
    <mergeCell ref="D39:G39"/>
    <mergeCell ref="B40:C40"/>
    <mergeCell ref="D40:G40"/>
    <mergeCell ref="B41:C41"/>
    <mergeCell ref="D41:G41"/>
    <mergeCell ref="B36:C36"/>
    <mergeCell ref="D36:G36"/>
    <mergeCell ref="A37:A38"/>
    <mergeCell ref="B37:C38"/>
    <mergeCell ref="D37:G38"/>
    <mergeCell ref="H37:H38"/>
    <mergeCell ref="B33:C33"/>
    <mergeCell ref="D33:G33"/>
    <mergeCell ref="B34:C34"/>
    <mergeCell ref="D34:G34"/>
    <mergeCell ref="B35:C35"/>
    <mergeCell ref="D35:G35"/>
    <mergeCell ref="B30:C30"/>
    <mergeCell ref="D30:G30"/>
    <mergeCell ref="B31:C31"/>
    <mergeCell ref="D31:G31"/>
    <mergeCell ref="B32:C32"/>
    <mergeCell ref="D32:G32"/>
    <mergeCell ref="B27:C27"/>
    <mergeCell ref="D27:G27"/>
    <mergeCell ref="B28:C28"/>
    <mergeCell ref="D28:G28"/>
    <mergeCell ref="B29:C29"/>
    <mergeCell ref="D29:G29"/>
    <mergeCell ref="B24:C24"/>
    <mergeCell ref="D24:G24"/>
    <mergeCell ref="B25:C25"/>
    <mergeCell ref="D25:G25"/>
    <mergeCell ref="B26:C26"/>
    <mergeCell ref="D26:G26"/>
    <mergeCell ref="B21:C21"/>
    <mergeCell ref="D21:G21"/>
    <mergeCell ref="B22:C22"/>
    <mergeCell ref="D22:G22"/>
    <mergeCell ref="B23:C23"/>
    <mergeCell ref="D23:G23"/>
    <mergeCell ref="B18:C18"/>
    <mergeCell ref="D18:G18"/>
    <mergeCell ref="B19:C19"/>
    <mergeCell ref="D19:G19"/>
    <mergeCell ref="B20:C20"/>
    <mergeCell ref="D20:G20"/>
    <mergeCell ref="A14:I14"/>
    <mergeCell ref="B15:C15"/>
    <mergeCell ref="D15:G15"/>
    <mergeCell ref="B16:C16"/>
    <mergeCell ref="D16:G16"/>
    <mergeCell ref="B17:C17"/>
    <mergeCell ref="D17:G17"/>
    <mergeCell ref="A8:C8"/>
    <mergeCell ref="D8:I8"/>
    <mergeCell ref="A10:C10"/>
    <mergeCell ref="D10:I10"/>
    <mergeCell ref="A12:C12"/>
    <mergeCell ref="D12:I12"/>
    <mergeCell ref="A1:C1"/>
    <mergeCell ref="D1:I1"/>
    <mergeCell ref="A3:I3"/>
    <mergeCell ref="A4:I4"/>
    <mergeCell ref="A6:C6"/>
    <mergeCell ref="D6:I6"/>
  </mergeCells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F5634-C85B-4169-93AA-F2D95EB721DF}">
  <dimension ref="A1:I55"/>
  <sheetViews>
    <sheetView topLeftCell="A37" workbookViewId="0">
      <selection activeCell="M57" sqref="M57"/>
    </sheetView>
  </sheetViews>
  <sheetFormatPr defaultColWidth="11.5703125" defaultRowHeight="12.75" x14ac:dyDescent="0.2"/>
  <cols>
    <col min="1" max="1" width="3.7109375" style="107" customWidth="1"/>
    <col min="2" max="2" width="10.7109375" style="107" customWidth="1"/>
    <col min="3" max="3" width="15.5703125" style="107" customWidth="1"/>
    <col min="4" max="4" width="4.42578125" style="107" customWidth="1"/>
    <col min="5" max="7" width="9.28515625" style="107" customWidth="1"/>
    <col min="8" max="8" width="19.7109375" style="107" customWidth="1"/>
    <col min="9" max="9" width="14.7109375" style="107" customWidth="1"/>
    <col min="10" max="10" width="19.7109375" style="58" customWidth="1"/>
    <col min="11" max="16384" width="11.5703125" style="58"/>
  </cols>
  <sheetData>
    <row r="1" spans="1:9" ht="25.5" customHeight="1" x14ac:dyDescent="0.2">
      <c r="A1" s="208" t="s">
        <v>99</v>
      </c>
      <c r="B1" s="208"/>
      <c r="C1" s="208"/>
      <c r="D1" s="192" t="s">
        <v>911</v>
      </c>
      <c r="E1" s="192"/>
      <c r="F1" s="192"/>
      <c r="G1" s="192"/>
      <c r="H1" s="192"/>
      <c r="I1" s="192"/>
    </row>
    <row r="2" spans="1:9" x14ac:dyDescent="0.2">
      <c r="A2" s="59"/>
      <c r="B2" s="59"/>
      <c r="C2" s="59"/>
      <c r="D2" s="60"/>
      <c r="E2" s="60"/>
      <c r="F2" s="60"/>
      <c r="G2" s="60"/>
      <c r="H2" s="60"/>
      <c r="I2" s="60"/>
    </row>
    <row r="3" spans="1:9" x14ac:dyDescent="0.2">
      <c r="A3" s="193" t="s">
        <v>731</v>
      </c>
      <c r="B3" s="193"/>
      <c r="C3" s="193"/>
      <c r="D3" s="193"/>
      <c r="E3" s="193"/>
      <c r="F3" s="193"/>
      <c r="G3" s="193"/>
      <c r="H3" s="193"/>
      <c r="I3" s="193"/>
    </row>
    <row r="4" spans="1:9" x14ac:dyDescent="0.2">
      <c r="A4" s="209" t="s">
        <v>101</v>
      </c>
      <c r="B4" s="209"/>
      <c r="C4" s="209"/>
      <c r="D4" s="209"/>
      <c r="E4" s="209"/>
      <c r="F4" s="209"/>
      <c r="G4" s="209"/>
      <c r="H4" s="209"/>
      <c r="I4" s="209"/>
    </row>
    <row r="5" spans="1:9" x14ac:dyDescent="0.2">
      <c r="A5" s="92"/>
      <c r="B5" s="92"/>
      <c r="C5" s="92"/>
      <c r="D5" s="92"/>
      <c r="E5" s="92"/>
      <c r="F5" s="92"/>
      <c r="G5" s="92"/>
      <c r="H5" s="92"/>
      <c r="I5" s="92"/>
    </row>
    <row r="6" spans="1:9" ht="51" customHeight="1" x14ac:dyDescent="0.2">
      <c r="A6" s="210" t="s">
        <v>102</v>
      </c>
      <c r="B6" s="210"/>
      <c r="C6" s="210"/>
      <c r="D6" s="189" t="s">
        <v>87</v>
      </c>
      <c r="E6" s="189"/>
      <c r="F6" s="189"/>
      <c r="G6" s="189"/>
      <c r="H6" s="189"/>
      <c r="I6" s="189"/>
    </row>
    <row r="7" spans="1:9" ht="3.75" customHeight="1" x14ac:dyDescent="0.2">
      <c r="D7" s="59"/>
      <c r="E7" s="59"/>
      <c r="F7" s="59"/>
      <c r="G7" s="59"/>
    </row>
    <row r="8" spans="1:9" ht="66" customHeight="1" x14ac:dyDescent="0.2">
      <c r="A8" s="189" t="s">
        <v>103</v>
      </c>
      <c r="B8" s="189"/>
      <c r="C8" s="189"/>
      <c r="D8" s="196" t="s">
        <v>622</v>
      </c>
      <c r="E8" s="196"/>
      <c r="F8" s="196"/>
      <c r="G8" s="196"/>
      <c r="H8" s="196"/>
      <c r="I8" s="196"/>
    </row>
    <row r="9" spans="1:9" ht="3.95" customHeight="1" x14ac:dyDescent="0.2">
      <c r="A9" s="94"/>
      <c r="B9" s="94"/>
      <c r="C9" s="94"/>
    </row>
    <row r="10" spans="1:9" ht="41.25" customHeight="1" x14ac:dyDescent="0.2">
      <c r="A10" s="189" t="s">
        <v>105</v>
      </c>
      <c r="B10" s="189"/>
      <c r="C10" s="189"/>
      <c r="D10" s="189"/>
      <c r="E10" s="189"/>
      <c r="F10" s="189"/>
      <c r="G10" s="189"/>
      <c r="H10" s="189"/>
      <c r="I10" s="189"/>
    </row>
    <row r="11" spans="1:9" ht="3.95" customHeight="1" x14ac:dyDescent="0.2"/>
    <row r="12" spans="1:9" ht="30" customHeight="1" x14ac:dyDescent="0.2">
      <c r="A12" s="189" t="s">
        <v>106</v>
      </c>
      <c r="B12" s="189"/>
      <c r="C12" s="189"/>
      <c r="D12" s="189"/>
      <c r="E12" s="189"/>
      <c r="F12" s="189"/>
      <c r="G12" s="189"/>
      <c r="H12" s="189"/>
      <c r="I12" s="189"/>
    </row>
    <row r="13" spans="1:9" ht="3.75" customHeight="1" x14ac:dyDescent="0.2">
      <c r="A13" s="94"/>
      <c r="B13" s="94"/>
      <c r="C13" s="94"/>
      <c r="D13" s="63"/>
      <c r="E13" s="63"/>
      <c r="F13" s="63"/>
      <c r="G13" s="63"/>
      <c r="H13" s="94"/>
      <c r="I13" s="94"/>
    </row>
    <row r="14" spans="1:9" ht="12.75" customHeight="1" x14ac:dyDescent="0.2">
      <c r="A14" s="198" t="s">
        <v>218</v>
      </c>
      <c r="B14" s="198"/>
      <c r="C14" s="198"/>
      <c r="D14" s="198"/>
      <c r="E14" s="198"/>
      <c r="F14" s="198"/>
      <c r="G14" s="198"/>
      <c r="H14" s="198"/>
      <c r="I14" s="198"/>
    </row>
    <row r="15" spans="1:9" ht="100.5" customHeight="1" x14ac:dyDescent="0.2">
      <c r="A15" s="137" t="s">
        <v>108</v>
      </c>
      <c r="B15" s="222" t="s">
        <v>109</v>
      </c>
      <c r="C15" s="223"/>
      <c r="D15" s="222" t="s">
        <v>110</v>
      </c>
      <c r="E15" s="224"/>
      <c r="F15" s="224"/>
      <c r="G15" s="223"/>
      <c r="H15" s="138" t="s">
        <v>113</v>
      </c>
      <c r="I15" s="137" t="s">
        <v>114</v>
      </c>
    </row>
    <row r="16" spans="1:9" x14ac:dyDescent="0.2">
      <c r="A16" s="128" t="s">
        <v>6</v>
      </c>
      <c r="B16" s="255">
        <v>2</v>
      </c>
      <c r="C16" s="226"/>
      <c r="D16" s="255">
        <v>3</v>
      </c>
      <c r="E16" s="227"/>
      <c r="F16" s="227"/>
      <c r="G16" s="226"/>
      <c r="H16" s="129">
        <v>4</v>
      </c>
      <c r="I16" s="129">
        <v>5</v>
      </c>
    </row>
    <row r="17" spans="1:9" ht="25.5" customHeight="1" x14ac:dyDescent="0.2">
      <c r="A17" s="65" t="s">
        <v>6</v>
      </c>
      <c r="B17" s="228" t="s">
        <v>115</v>
      </c>
      <c r="C17" s="229"/>
      <c r="D17" s="228" t="s">
        <v>623</v>
      </c>
      <c r="E17" s="230"/>
      <c r="F17" s="230"/>
      <c r="G17" s="229"/>
      <c r="H17" s="66"/>
      <c r="I17" s="67"/>
    </row>
    <row r="18" spans="1:9" ht="145.35" customHeight="1" x14ac:dyDescent="0.2">
      <c r="A18" s="85" t="s">
        <v>117</v>
      </c>
      <c r="B18" s="211" t="s">
        <v>965</v>
      </c>
      <c r="C18" s="212"/>
      <c r="D18" s="213" t="s">
        <v>624</v>
      </c>
      <c r="E18" s="214"/>
      <c r="F18" s="214"/>
      <c r="G18" s="215"/>
      <c r="H18" s="87" t="s">
        <v>625</v>
      </c>
      <c r="I18" s="88">
        <f>ROUND((1239100  + 125950  * (0.4 * 10 + 0.6 * 10 / 2)) * 1 * 0.4 * 4.75 * 1.04 * 1.1 * 0.8 * 0.7 * 0.84,2)</f>
        <v>2168385.1</v>
      </c>
    </row>
    <row r="19" spans="1:9" ht="15.75" customHeight="1" x14ac:dyDescent="0.2">
      <c r="A19" s="71" t="s">
        <v>129</v>
      </c>
      <c r="B19" s="216" t="s">
        <v>130</v>
      </c>
      <c r="C19" s="217"/>
      <c r="D19" s="216"/>
      <c r="E19" s="218"/>
      <c r="F19" s="218"/>
      <c r="G19" s="217"/>
      <c r="H19" s="72"/>
      <c r="I19" s="73"/>
    </row>
    <row r="20" spans="1:9" ht="25.5" customHeight="1" x14ac:dyDescent="0.2">
      <c r="A20" s="74" t="s">
        <v>129</v>
      </c>
      <c r="B20" s="219" t="s">
        <v>626</v>
      </c>
      <c r="C20" s="220"/>
      <c r="D20" s="219" t="s">
        <v>627</v>
      </c>
      <c r="E20" s="221"/>
      <c r="F20" s="221"/>
      <c r="G20" s="220"/>
      <c r="H20" s="75"/>
      <c r="I20" s="76"/>
    </row>
    <row r="21" spans="1:9" ht="38.25" customHeight="1" x14ac:dyDescent="0.2">
      <c r="A21" s="74" t="s">
        <v>129</v>
      </c>
      <c r="B21" s="219" t="s">
        <v>628</v>
      </c>
      <c r="C21" s="220"/>
      <c r="D21" s="219" t="s">
        <v>629</v>
      </c>
      <c r="E21" s="221"/>
      <c r="F21" s="221"/>
      <c r="G21" s="220"/>
      <c r="H21" s="75"/>
      <c r="I21" s="76"/>
    </row>
    <row r="22" spans="1:9" ht="127.5" customHeight="1" x14ac:dyDescent="0.2">
      <c r="A22" s="74" t="s">
        <v>129</v>
      </c>
      <c r="B22" s="219" t="s">
        <v>630</v>
      </c>
      <c r="C22" s="220"/>
      <c r="D22" s="219" t="s">
        <v>631</v>
      </c>
      <c r="E22" s="221"/>
      <c r="F22" s="221"/>
      <c r="G22" s="220"/>
      <c r="H22" s="75"/>
      <c r="I22" s="76"/>
    </row>
    <row r="23" spans="1:9" ht="153" customHeight="1" x14ac:dyDescent="0.2">
      <c r="A23" s="206" t="s">
        <v>129</v>
      </c>
      <c r="B23" s="238" t="s">
        <v>632</v>
      </c>
      <c r="C23" s="239"/>
      <c r="D23" s="238" t="s">
        <v>633</v>
      </c>
      <c r="E23" s="189"/>
      <c r="F23" s="189"/>
      <c r="G23" s="239"/>
      <c r="H23" s="202"/>
      <c r="I23" s="200"/>
    </row>
    <row r="24" spans="1:9" ht="12.75" customHeight="1" x14ac:dyDescent="0.2">
      <c r="A24" s="206"/>
      <c r="B24" s="238"/>
      <c r="C24" s="239"/>
      <c r="D24" s="238"/>
      <c r="E24" s="189"/>
      <c r="F24" s="189"/>
      <c r="G24" s="239"/>
      <c r="H24" s="202"/>
      <c r="I24" s="200"/>
    </row>
    <row r="25" spans="1:9" ht="293.25" customHeight="1" x14ac:dyDescent="0.2">
      <c r="A25" s="71" t="s">
        <v>129</v>
      </c>
      <c r="B25" s="266" t="s">
        <v>634</v>
      </c>
      <c r="C25" s="267"/>
      <c r="D25" s="266" t="s">
        <v>635</v>
      </c>
      <c r="E25" s="268"/>
      <c r="F25" s="268"/>
      <c r="G25" s="267"/>
      <c r="H25" s="98"/>
      <c r="I25" s="99"/>
    </row>
    <row r="26" spans="1:9" ht="76.5" customHeight="1" x14ac:dyDescent="0.2">
      <c r="A26" s="74" t="s">
        <v>129</v>
      </c>
      <c r="B26" s="219" t="s">
        <v>636</v>
      </c>
      <c r="C26" s="220"/>
      <c r="D26" s="219" t="s">
        <v>637</v>
      </c>
      <c r="E26" s="221"/>
      <c r="F26" s="221"/>
      <c r="G26" s="220"/>
      <c r="H26" s="75"/>
      <c r="I26" s="76"/>
    </row>
    <row r="27" spans="1:9" ht="15.75" customHeight="1" x14ac:dyDescent="0.2">
      <c r="A27" s="74" t="s">
        <v>129</v>
      </c>
      <c r="B27" s="240" t="s">
        <v>137</v>
      </c>
      <c r="C27" s="241"/>
      <c r="D27" s="240"/>
      <c r="E27" s="242"/>
      <c r="F27" s="242"/>
      <c r="G27" s="241"/>
      <c r="H27" s="77"/>
      <c r="I27" s="78"/>
    </row>
    <row r="28" spans="1:9" ht="12.75" customHeight="1" x14ac:dyDescent="0.2">
      <c r="A28" s="74" t="s">
        <v>129</v>
      </c>
      <c r="B28" s="219" t="s">
        <v>638</v>
      </c>
      <c r="C28" s="220"/>
      <c r="D28" s="249">
        <v>0.02</v>
      </c>
      <c r="E28" s="250"/>
      <c r="F28" s="250"/>
      <c r="G28" s="251"/>
      <c r="H28" s="75"/>
      <c r="I28" s="76"/>
    </row>
    <row r="29" spans="1:9" ht="38.25" customHeight="1" x14ac:dyDescent="0.2">
      <c r="A29" s="74" t="s">
        <v>129</v>
      </c>
      <c r="B29" s="219" t="s">
        <v>639</v>
      </c>
      <c r="C29" s="220"/>
      <c r="D29" s="249">
        <v>0.04</v>
      </c>
      <c r="E29" s="250"/>
      <c r="F29" s="250"/>
      <c r="G29" s="251"/>
      <c r="H29" s="75"/>
      <c r="I29" s="76"/>
    </row>
    <row r="30" spans="1:9" ht="12.75" customHeight="1" x14ac:dyDescent="0.2">
      <c r="A30" s="74" t="s">
        <v>129</v>
      </c>
      <c r="B30" s="219" t="s">
        <v>640</v>
      </c>
      <c r="C30" s="220"/>
      <c r="D30" s="249">
        <v>7.0000000000000007E-2</v>
      </c>
      <c r="E30" s="250"/>
      <c r="F30" s="250"/>
      <c r="G30" s="251"/>
      <c r="H30" s="75"/>
      <c r="I30" s="76"/>
    </row>
    <row r="31" spans="1:9" ht="38.25" customHeight="1" x14ac:dyDescent="0.2">
      <c r="A31" s="74" t="s">
        <v>129</v>
      </c>
      <c r="B31" s="219" t="s">
        <v>641</v>
      </c>
      <c r="C31" s="220"/>
      <c r="D31" s="249">
        <v>0.08</v>
      </c>
      <c r="E31" s="250"/>
      <c r="F31" s="250"/>
      <c r="G31" s="251"/>
      <c r="H31" s="75"/>
      <c r="I31" s="76"/>
    </row>
    <row r="32" spans="1:9" ht="63.75" customHeight="1" x14ac:dyDescent="0.2">
      <c r="A32" s="74" t="s">
        <v>129</v>
      </c>
      <c r="B32" s="219" t="s">
        <v>642</v>
      </c>
      <c r="C32" s="220"/>
      <c r="D32" s="249">
        <v>0.35</v>
      </c>
      <c r="E32" s="250"/>
      <c r="F32" s="250"/>
      <c r="G32" s="251"/>
      <c r="H32" s="75"/>
      <c r="I32" s="76"/>
    </row>
    <row r="33" spans="1:9" ht="12.75" customHeight="1" x14ac:dyDescent="0.2">
      <c r="A33" s="74" t="s">
        <v>129</v>
      </c>
      <c r="B33" s="219" t="s">
        <v>643</v>
      </c>
      <c r="C33" s="220"/>
      <c r="D33" s="219" t="s">
        <v>644</v>
      </c>
      <c r="E33" s="221"/>
      <c r="F33" s="221"/>
      <c r="G33" s="220"/>
      <c r="H33" s="75"/>
      <c r="I33" s="76"/>
    </row>
    <row r="34" spans="1:9" ht="12.75" customHeight="1" x14ac:dyDescent="0.2">
      <c r="A34" s="74" t="s">
        <v>129</v>
      </c>
      <c r="B34" s="219" t="s">
        <v>645</v>
      </c>
      <c r="C34" s="220"/>
      <c r="D34" s="219" t="s">
        <v>646</v>
      </c>
      <c r="E34" s="221"/>
      <c r="F34" s="221"/>
      <c r="G34" s="220"/>
      <c r="H34" s="75"/>
      <c r="I34" s="76"/>
    </row>
    <row r="35" spans="1:9" ht="12.75" customHeight="1" x14ac:dyDescent="0.2">
      <c r="A35" s="74" t="s">
        <v>129</v>
      </c>
      <c r="B35" s="219" t="s">
        <v>647</v>
      </c>
      <c r="C35" s="220"/>
      <c r="D35" s="219" t="s">
        <v>646</v>
      </c>
      <c r="E35" s="221"/>
      <c r="F35" s="221"/>
      <c r="G35" s="220"/>
      <c r="H35" s="75"/>
      <c r="I35" s="76"/>
    </row>
    <row r="36" spans="1:9" ht="25.5" customHeight="1" x14ac:dyDescent="0.2">
      <c r="A36" s="74" t="s">
        <v>129</v>
      </c>
      <c r="B36" s="219" t="s">
        <v>648</v>
      </c>
      <c r="C36" s="220"/>
      <c r="D36" s="219" t="s">
        <v>649</v>
      </c>
      <c r="E36" s="221"/>
      <c r="F36" s="221"/>
      <c r="G36" s="220"/>
      <c r="H36" s="75"/>
      <c r="I36" s="76"/>
    </row>
    <row r="37" spans="1:9" ht="12.75" customHeight="1" x14ac:dyDescent="0.2">
      <c r="A37" s="74" t="s">
        <v>129</v>
      </c>
      <c r="B37" s="219" t="s">
        <v>650</v>
      </c>
      <c r="C37" s="220"/>
      <c r="D37" s="219" t="s">
        <v>651</v>
      </c>
      <c r="E37" s="221"/>
      <c r="F37" s="221"/>
      <c r="G37" s="220"/>
      <c r="H37" s="75"/>
      <c r="I37" s="76"/>
    </row>
    <row r="38" spans="1:9" ht="25.5" customHeight="1" x14ac:dyDescent="0.2">
      <c r="A38" s="74" t="s">
        <v>129</v>
      </c>
      <c r="B38" s="219" t="s">
        <v>652</v>
      </c>
      <c r="C38" s="220"/>
      <c r="D38" s="219" t="s">
        <v>653</v>
      </c>
      <c r="E38" s="221"/>
      <c r="F38" s="221"/>
      <c r="G38" s="220"/>
      <c r="H38" s="75"/>
      <c r="I38" s="76"/>
    </row>
    <row r="39" spans="1:9" ht="25.5" customHeight="1" x14ac:dyDescent="0.2">
      <c r="A39" s="74" t="s">
        <v>129</v>
      </c>
      <c r="B39" s="219" t="s">
        <v>654</v>
      </c>
      <c r="C39" s="220"/>
      <c r="D39" s="249">
        <v>0.06</v>
      </c>
      <c r="E39" s="250"/>
      <c r="F39" s="250"/>
      <c r="G39" s="251"/>
      <c r="H39" s="75"/>
      <c r="I39" s="76"/>
    </row>
    <row r="40" spans="1:9" ht="25.5" customHeight="1" x14ac:dyDescent="0.2">
      <c r="A40" s="74" t="s">
        <v>129</v>
      </c>
      <c r="B40" s="219" t="s">
        <v>655</v>
      </c>
      <c r="C40" s="220"/>
      <c r="D40" s="249">
        <v>7.0000000000000007E-2</v>
      </c>
      <c r="E40" s="250"/>
      <c r="F40" s="250"/>
      <c r="G40" s="251"/>
      <c r="H40" s="75"/>
      <c r="I40" s="76"/>
    </row>
    <row r="41" spans="1:9" ht="38.25" customHeight="1" x14ac:dyDescent="0.2">
      <c r="A41" s="74" t="s">
        <v>129</v>
      </c>
      <c r="B41" s="219" t="s">
        <v>656</v>
      </c>
      <c r="C41" s="220"/>
      <c r="D41" s="249">
        <v>0.06</v>
      </c>
      <c r="E41" s="250"/>
      <c r="F41" s="250"/>
      <c r="G41" s="251"/>
      <c r="H41" s="75"/>
      <c r="I41" s="76"/>
    </row>
    <row r="42" spans="1:9" ht="38.25" customHeight="1" x14ac:dyDescent="0.2">
      <c r="A42" s="74" t="s">
        <v>129</v>
      </c>
      <c r="B42" s="219" t="s">
        <v>657</v>
      </c>
      <c r="C42" s="220"/>
      <c r="D42" s="249">
        <v>0.02</v>
      </c>
      <c r="E42" s="250"/>
      <c r="F42" s="250"/>
      <c r="G42" s="251"/>
      <c r="H42" s="75"/>
      <c r="I42" s="76"/>
    </row>
    <row r="43" spans="1:9" ht="12.75" customHeight="1" x14ac:dyDescent="0.2">
      <c r="A43" s="96" t="s">
        <v>129</v>
      </c>
      <c r="B43" s="231" t="s">
        <v>658</v>
      </c>
      <c r="C43" s="232"/>
      <c r="D43" s="233">
        <v>7.0000000000000007E-2</v>
      </c>
      <c r="E43" s="234"/>
      <c r="F43" s="234"/>
      <c r="G43" s="235"/>
      <c r="H43" s="97"/>
      <c r="I43" s="80"/>
    </row>
    <row r="44" spans="1:9" ht="25.5" customHeight="1" x14ac:dyDescent="0.2">
      <c r="A44" s="96" t="s">
        <v>121</v>
      </c>
      <c r="B44" s="243" t="s">
        <v>659</v>
      </c>
      <c r="C44" s="244"/>
      <c r="D44" s="243"/>
      <c r="E44" s="245"/>
      <c r="F44" s="245"/>
      <c r="G44" s="244"/>
      <c r="H44" s="83"/>
      <c r="I44" s="84">
        <f>ROUND(($I$18),2)</f>
        <v>2168385.1</v>
      </c>
    </row>
    <row r="45" spans="1:9" ht="25.5" customHeight="1" x14ac:dyDescent="0.2">
      <c r="A45" s="65" t="s">
        <v>123</v>
      </c>
      <c r="B45" s="228" t="s">
        <v>660</v>
      </c>
      <c r="C45" s="229"/>
      <c r="D45" s="228"/>
      <c r="E45" s="230"/>
      <c r="F45" s="230"/>
      <c r="G45" s="229"/>
      <c r="H45" s="66"/>
      <c r="I45" s="70">
        <f>ROUND(($I$44),2)</f>
        <v>2168385.1</v>
      </c>
    </row>
    <row r="46" spans="1:9" ht="12.75" customHeight="1" x14ac:dyDescent="0.2">
      <c r="A46" s="65" t="s">
        <v>7</v>
      </c>
      <c r="B46" s="228" t="s">
        <v>213</v>
      </c>
      <c r="C46" s="229"/>
      <c r="D46" s="228"/>
      <c r="E46" s="230"/>
      <c r="F46" s="230"/>
      <c r="G46" s="229"/>
      <c r="H46" s="66"/>
      <c r="I46" s="70">
        <f>ROUND(($I$45),2)</f>
        <v>2168385.1</v>
      </c>
    </row>
    <row r="47" spans="1:9" ht="12.75" customHeight="1" x14ac:dyDescent="0.2">
      <c r="A47" s="65" t="s">
        <v>23</v>
      </c>
      <c r="B47" s="228" t="s">
        <v>214</v>
      </c>
      <c r="C47" s="229"/>
      <c r="D47" s="228"/>
      <c r="E47" s="230"/>
      <c r="F47" s="230"/>
      <c r="G47" s="229"/>
      <c r="H47" s="66"/>
      <c r="I47" s="70">
        <f>ROUND(($I$46),2)</f>
        <v>2168385.1</v>
      </c>
    </row>
    <row r="48" spans="1:9" ht="12.75" customHeight="1" x14ac:dyDescent="0.2"/>
    <row r="49" spans="1:9" s="93" customFormat="1" ht="24.95" customHeight="1" x14ac:dyDescent="0.25">
      <c r="A49" s="189" t="s">
        <v>215</v>
      </c>
      <c r="B49" s="189"/>
      <c r="C49" s="189"/>
      <c r="D49" s="189"/>
      <c r="E49" s="189"/>
      <c r="F49" s="189"/>
      <c r="G49" s="189"/>
      <c r="H49" s="189"/>
      <c r="I49" s="189"/>
    </row>
    <row r="50" spans="1:9" ht="12.75" customHeight="1" x14ac:dyDescent="0.2">
      <c r="D50" s="95"/>
    </row>
    <row r="51" spans="1:9" x14ac:dyDescent="0.2">
      <c r="H51" s="107" t="s">
        <v>988</v>
      </c>
      <c r="I51" s="159">
        <f>ROUND(I47/1.04*0.04,2)</f>
        <v>83399.429999999993</v>
      </c>
    </row>
    <row r="52" spans="1:9" x14ac:dyDescent="0.2">
      <c r="H52" s="107" t="s">
        <v>1131</v>
      </c>
      <c r="I52" s="159">
        <f>I47-I51</f>
        <v>2084985.6700000002</v>
      </c>
    </row>
    <row r="53" spans="1:9" x14ac:dyDescent="0.2">
      <c r="H53" s="107" t="s">
        <v>1132</v>
      </c>
      <c r="I53" s="159">
        <f>ROUND(I52*6/100,2)</f>
        <v>125099.14</v>
      </c>
    </row>
    <row r="54" spans="1:9" x14ac:dyDescent="0.2">
      <c r="H54" s="107" t="s">
        <v>1133</v>
      </c>
      <c r="I54" s="159">
        <f>ROUND(I52*7/100,2)</f>
        <v>145949</v>
      </c>
    </row>
    <row r="55" spans="1:9" ht="25.5" x14ac:dyDescent="0.2">
      <c r="H55" s="107" t="s">
        <v>1134</v>
      </c>
      <c r="I55" s="159">
        <f>I52-I53-I54</f>
        <v>1813937.5300000003</v>
      </c>
    </row>
  </sheetData>
  <mergeCells count="82">
    <mergeCell ref="A49:C49"/>
    <mergeCell ref="D49:I49"/>
    <mergeCell ref="B45:C45"/>
    <mergeCell ref="D45:G45"/>
    <mergeCell ref="B46:C46"/>
    <mergeCell ref="D46:G46"/>
    <mergeCell ref="B47:C47"/>
    <mergeCell ref="D47:G47"/>
    <mergeCell ref="B42:C42"/>
    <mergeCell ref="D42:G42"/>
    <mergeCell ref="B43:C43"/>
    <mergeCell ref="D43:G43"/>
    <mergeCell ref="B44:C44"/>
    <mergeCell ref="D44:G44"/>
    <mergeCell ref="B39:C39"/>
    <mergeCell ref="D39:G39"/>
    <mergeCell ref="B40:C40"/>
    <mergeCell ref="D40:G40"/>
    <mergeCell ref="B41:C41"/>
    <mergeCell ref="D41:G41"/>
    <mergeCell ref="B36:C36"/>
    <mergeCell ref="D36:G36"/>
    <mergeCell ref="B37:C37"/>
    <mergeCell ref="D37:G37"/>
    <mergeCell ref="B38:C38"/>
    <mergeCell ref="D38:G38"/>
    <mergeCell ref="B33:C33"/>
    <mergeCell ref="D33:G33"/>
    <mergeCell ref="B34:C34"/>
    <mergeCell ref="D34:G34"/>
    <mergeCell ref="B35:C35"/>
    <mergeCell ref="D35:G35"/>
    <mergeCell ref="B30:C30"/>
    <mergeCell ref="D30:G30"/>
    <mergeCell ref="B31:C31"/>
    <mergeCell ref="D31:G31"/>
    <mergeCell ref="B32:C32"/>
    <mergeCell ref="D32:G32"/>
    <mergeCell ref="B27:C27"/>
    <mergeCell ref="D27:G27"/>
    <mergeCell ref="B28:C28"/>
    <mergeCell ref="D28:G28"/>
    <mergeCell ref="B29:C29"/>
    <mergeCell ref="D29:G29"/>
    <mergeCell ref="H23:H24"/>
    <mergeCell ref="I23:I24"/>
    <mergeCell ref="B25:C25"/>
    <mergeCell ref="D25:G25"/>
    <mergeCell ref="B26:C26"/>
    <mergeCell ref="D26:G26"/>
    <mergeCell ref="B21:C21"/>
    <mergeCell ref="D21:G21"/>
    <mergeCell ref="B22:C22"/>
    <mergeCell ref="D22:G22"/>
    <mergeCell ref="A23:A24"/>
    <mergeCell ref="B23:C24"/>
    <mergeCell ref="D23:G24"/>
    <mergeCell ref="B18:C18"/>
    <mergeCell ref="D18:G18"/>
    <mergeCell ref="B19:C19"/>
    <mergeCell ref="D19:G19"/>
    <mergeCell ref="B20:C20"/>
    <mergeCell ref="D20:G20"/>
    <mergeCell ref="B17:C17"/>
    <mergeCell ref="D17:G17"/>
    <mergeCell ref="A8:C8"/>
    <mergeCell ref="D8:I8"/>
    <mergeCell ref="A10:C10"/>
    <mergeCell ref="D10:I10"/>
    <mergeCell ref="A12:C12"/>
    <mergeCell ref="D12:I12"/>
    <mergeCell ref="A14:I14"/>
    <mergeCell ref="B15:C15"/>
    <mergeCell ref="D15:G15"/>
    <mergeCell ref="B16:C16"/>
    <mergeCell ref="D16:G16"/>
    <mergeCell ref="A1:C1"/>
    <mergeCell ref="D1:I1"/>
    <mergeCell ref="A3:I3"/>
    <mergeCell ref="A4:I4"/>
    <mergeCell ref="A6:C6"/>
    <mergeCell ref="D6:I6"/>
  </mergeCells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65A28-3011-4C57-A9AE-4B4814F60CD5}">
  <dimension ref="A1:I90"/>
  <sheetViews>
    <sheetView topLeftCell="A82" workbookViewId="0">
      <selection activeCell="D89" sqref="D89:I89"/>
    </sheetView>
  </sheetViews>
  <sheetFormatPr defaultColWidth="11.5703125" defaultRowHeight="12.75" x14ac:dyDescent="0.2"/>
  <cols>
    <col min="1" max="1" width="3.7109375" style="107" customWidth="1"/>
    <col min="2" max="2" width="10.7109375" style="107" customWidth="1"/>
    <col min="3" max="3" width="15.5703125" style="107" customWidth="1"/>
    <col min="4" max="4" width="4.42578125" style="107" customWidth="1"/>
    <col min="5" max="7" width="9.28515625" style="107" customWidth="1"/>
    <col min="8" max="8" width="19.7109375" style="107" customWidth="1"/>
    <col min="9" max="9" width="14.7109375" style="107" customWidth="1"/>
    <col min="10" max="10" width="19.7109375" style="58" customWidth="1"/>
    <col min="11" max="16384" width="11.5703125" style="58"/>
  </cols>
  <sheetData>
    <row r="1" spans="1:9" ht="25.5" customHeight="1" x14ac:dyDescent="0.2">
      <c r="A1" s="208" t="s">
        <v>99</v>
      </c>
      <c r="B1" s="208"/>
      <c r="C1" s="208"/>
      <c r="D1" s="192" t="s">
        <v>911</v>
      </c>
      <c r="E1" s="192"/>
      <c r="F1" s="192"/>
      <c r="G1" s="192"/>
      <c r="H1" s="192"/>
      <c r="I1" s="192"/>
    </row>
    <row r="2" spans="1:9" x14ac:dyDescent="0.2">
      <c r="A2" s="59"/>
      <c r="B2" s="59"/>
      <c r="C2" s="59"/>
      <c r="D2" s="60"/>
      <c r="E2" s="60"/>
      <c r="F2" s="60"/>
      <c r="G2" s="60"/>
      <c r="H2" s="60"/>
      <c r="I2" s="60"/>
    </row>
    <row r="3" spans="1:9" x14ac:dyDescent="0.2">
      <c r="A3" s="193" t="s">
        <v>756</v>
      </c>
      <c r="B3" s="193"/>
      <c r="C3" s="193"/>
      <c r="D3" s="193"/>
      <c r="E3" s="193"/>
      <c r="F3" s="193"/>
      <c r="G3" s="193"/>
      <c r="H3" s="193"/>
      <c r="I3" s="193"/>
    </row>
    <row r="4" spans="1:9" x14ac:dyDescent="0.2">
      <c r="A4" s="209" t="s">
        <v>101</v>
      </c>
      <c r="B4" s="209"/>
      <c r="C4" s="209"/>
      <c r="D4" s="209"/>
      <c r="E4" s="209"/>
      <c r="F4" s="209"/>
      <c r="G4" s="209"/>
      <c r="H4" s="209"/>
      <c r="I4" s="209"/>
    </row>
    <row r="5" spans="1:9" x14ac:dyDescent="0.2">
      <c r="A5" s="92"/>
      <c r="B5" s="92"/>
      <c r="C5" s="92"/>
      <c r="D5" s="92"/>
      <c r="E5" s="92"/>
      <c r="F5" s="92"/>
      <c r="G5" s="92"/>
      <c r="H5" s="92"/>
      <c r="I5" s="92"/>
    </row>
    <row r="6" spans="1:9" ht="51" customHeight="1" x14ac:dyDescent="0.2">
      <c r="A6" s="210" t="s">
        <v>102</v>
      </c>
      <c r="B6" s="210"/>
      <c r="C6" s="210"/>
      <c r="D6" s="189" t="s">
        <v>87</v>
      </c>
      <c r="E6" s="189"/>
      <c r="F6" s="189"/>
      <c r="G6" s="189"/>
      <c r="H6" s="189"/>
      <c r="I6" s="189"/>
    </row>
    <row r="7" spans="1:9" ht="3.75" customHeight="1" x14ac:dyDescent="0.2">
      <c r="D7" s="59"/>
      <c r="E7" s="59"/>
      <c r="F7" s="59"/>
      <c r="G7" s="59"/>
    </row>
    <row r="8" spans="1:9" ht="66" customHeight="1" x14ac:dyDescent="0.2">
      <c r="A8" s="189" t="s">
        <v>103</v>
      </c>
      <c r="B8" s="189"/>
      <c r="C8" s="189"/>
      <c r="D8" s="196" t="s">
        <v>662</v>
      </c>
      <c r="E8" s="196"/>
      <c r="F8" s="196"/>
      <c r="G8" s="196"/>
      <c r="H8" s="196"/>
      <c r="I8" s="196"/>
    </row>
    <row r="9" spans="1:9" ht="3.95" customHeight="1" x14ac:dyDescent="0.2">
      <c r="A9" s="94"/>
      <c r="B9" s="94"/>
      <c r="C9" s="94"/>
    </row>
    <row r="10" spans="1:9" ht="41.25" customHeight="1" x14ac:dyDescent="0.2">
      <c r="A10" s="189" t="s">
        <v>105</v>
      </c>
      <c r="B10" s="189"/>
      <c r="C10" s="189"/>
      <c r="D10" s="189"/>
      <c r="E10" s="189"/>
      <c r="F10" s="189"/>
      <c r="G10" s="189"/>
      <c r="H10" s="189"/>
      <c r="I10" s="189"/>
    </row>
    <row r="11" spans="1:9" ht="3.95" customHeight="1" x14ac:dyDescent="0.2"/>
    <row r="12" spans="1:9" ht="30" customHeight="1" x14ac:dyDescent="0.2">
      <c r="A12" s="189" t="s">
        <v>106</v>
      </c>
      <c r="B12" s="189"/>
      <c r="C12" s="189"/>
      <c r="D12" s="189"/>
      <c r="E12" s="189"/>
      <c r="F12" s="189"/>
      <c r="G12" s="189"/>
      <c r="H12" s="189"/>
      <c r="I12" s="189"/>
    </row>
    <row r="13" spans="1:9" ht="3.75" customHeight="1" x14ac:dyDescent="0.2">
      <c r="A13" s="94"/>
      <c r="B13" s="94"/>
      <c r="C13" s="94"/>
      <c r="D13" s="63"/>
      <c r="E13" s="63"/>
      <c r="F13" s="63"/>
      <c r="G13" s="63"/>
      <c r="H13" s="94"/>
      <c r="I13" s="94"/>
    </row>
    <row r="14" spans="1:9" ht="12.75" customHeight="1" x14ac:dyDescent="0.2">
      <c r="A14" s="198" t="s">
        <v>218</v>
      </c>
      <c r="B14" s="198"/>
      <c r="C14" s="198"/>
      <c r="D14" s="198"/>
      <c r="E14" s="198"/>
      <c r="F14" s="198"/>
      <c r="G14" s="198"/>
      <c r="H14" s="198"/>
      <c r="I14" s="198"/>
    </row>
    <row r="15" spans="1:9" ht="100.5" customHeight="1" x14ac:dyDescent="0.2">
      <c r="A15" s="137" t="s">
        <v>108</v>
      </c>
      <c r="B15" s="222" t="s">
        <v>109</v>
      </c>
      <c r="C15" s="223"/>
      <c r="D15" s="222" t="s">
        <v>110</v>
      </c>
      <c r="E15" s="224"/>
      <c r="F15" s="224"/>
      <c r="G15" s="223"/>
      <c r="H15" s="138" t="s">
        <v>113</v>
      </c>
      <c r="I15" s="137" t="s">
        <v>114</v>
      </c>
    </row>
    <row r="16" spans="1:9" x14ac:dyDescent="0.2">
      <c r="A16" s="128" t="s">
        <v>6</v>
      </c>
      <c r="B16" s="255">
        <v>2</v>
      </c>
      <c r="C16" s="226"/>
      <c r="D16" s="255">
        <v>3</v>
      </c>
      <c r="E16" s="227"/>
      <c r="F16" s="227"/>
      <c r="G16" s="226"/>
      <c r="H16" s="129">
        <v>4</v>
      </c>
      <c r="I16" s="129">
        <v>5</v>
      </c>
    </row>
    <row r="17" spans="1:9" ht="12.75" customHeight="1" x14ac:dyDescent="0.2">
      <c r="A17" s="65" t="s">
        <v>6</v>
      </c>
      <c r="B17" s="228" t="s">
        <v>115</v>
      </c>
      <c r="C17" s="229"/>
      <c r="D17" s="228" t="s">
        <v>663</v>
      </c>
      <c r="E17" s="230"/>
      <c r="F17" s="230"/>
      <c r="G17" s="229"/>
      <c r="H17" s="66"/>
      <c r="I17" s="67"/>
    </row>
    <row r="18" spans="1:9" ht="209.1" customHeight="1" x14ac:dyDescent="0.2">
      <c r="A18" s="85" t="s">
        <v>117</v>
      </c>
      <c r="B18" s="211" t="s">
        <v>664</v>
      </c>
      <c r="C18" s="212"/>
      <c r="D18" s="213" t="s">
        <v>966</v>
      </c>
      <c r="E18" s="214"/>
      <c r="F18" s="214"/>
      <c r="G18" s="215"/>
      <c r="H18" s="87" t="s">
        <v>967</v>
      </c>
      <c r="I18" s="88">
        <f>ROUND((10.97 + ((15.56 - 10.97) / (7 - 5)) * (5.128 - 5)) * 1 * 540 * 4 * 1.2,2)</f>
        <v>29195.67</v>
      </c>
    </row>
    <row r="19" spans="1:9" ht="15.75" customHeight="1" x14ac:dyDescent="0.2">
      <c r="A19" s="71" t="s">
        <v>129</v>
      </c>
      <c r="B19" s="216" t="s">
        <v>130</v>
      </c>
      <c r="C19" s="217"/>
      <c r="D19" s="216"/>
      <c r="E19" s="218"/>
      <c r="F19" s="218"/>
      <c r="G19" s="217"/>
      <c r="H19" s="72"/>
      <c r="I19" s="73"/>
    </row>
    <row r="20" spans="1:9" ht="38.25" customHeight="1" x14ac:dyDescent="0.2">
      <c r="A20" s="74" t="s">
        <v>129</v>
      </c>
      <c r="B20" s="219" t="s">
        <v>131</v>
      </c>
      <c r="C20" s="220"/>
      <c r="D20" s="219" t="s">
        <v>132</v>
      </c>
      <c r="E20" s="221"/>
      <c r="F20" s="221"/>
      <c r="G20" s="220"/>
      <c r="H20" s="75"/>
      <c r="I20" s="76"/>
    </row>
    <row r="21" spans="1:9" ht="89.25" customHeight="1" x14ac:dyDescent="0.2">
      <c r="A21" s="96" t="s">
        <v>129</v>
      </c>
      <c r="B21" s="231" t="s">
        <v>135</v>
      </c>
      <c r="C21" s="232"/>
      <c r="D21" s="231" t="s">
        <v>144</v>
      </c>
      <c r="E21" s="256"/>
      <c r="F21" s="256"/>
      <c r="G21" s="232"/>
      <c r="H21" s="97"/>
      <c r="I21" s="80"/>
    </row>
    <row r="22" spans="1:9" ht="196.35" customHeight="1" x14ac:dyDescent="0.2">
      <c r="A22" s="206" t="s">
        <v>121</v>
      </c>
      <c r="B22" s="236" t="s">
        <v>665</v>
      </c>
      <c r="C22" s="237"/>
      <c r="D22" s="238" t="s">
        <v>968</v>
      </c>
      <c r="E22" s="189"/>
      <c r="F22" s="189"/>
      <c r="G22" s="239"/>
      <c r="H22" s="202" t="s">
        <v>969</v>
      </c>
      <c r="I22" s="205">
        <f>ROUND((8.22 + ((9.06 - 8.22) / (7 - 5)) * (5.128 - 5)) * 1 * 540 * 4 * 1.2,2)</f>
        <v>21445.59</v>
      </c>
    </row>
    <row r="23" spans="1:9" ht="12.75" customHeight="1" x14ac:dyDescent="0.2">
      <c r="A23" s="206"/>
      <c r="B23" s="236"/>
      <c r="C23" s="237"/>
      <c r="D23" s="238"/>
      <c r="E23" s="189"/>
      <c r="F23" s="189"/>
      <c r="G23" s="239"/>
      <c r="H23" s="202"/>
      <c r="I23" s="205"/>
    </row>
    <row r="24" spans="1:9" ht="15.75" customHeight="1" x14ac:dyDescent="0.2">
      <c r="A24" s="71" t="s">
        <v>129</v>
      </c>
      <c r="B24" s="216" t="s">
        <v>130</v>
      </c>
      <c r="C24" s="217"/>
      <c r="D24" s="216"/>
      <c r="E24" s="218"/>
      <c r="F24" s="218"/>
      <c r="G24" s="217"/>
      <c r="H24" s="72"/>
      <c r="I24" s="73"/>
    </row>
    <row r="25" spans="1:9" ht="38.25" customHeight="1" x14ac:dyDescent="0.2">
      <c r="A25" s="74" t="s">
        <v>129</v>
      </c>
      <c r="B25" s="219" t="s">
        <v>131</v>
      </c>
      <c r="C25" s="220"/>
      <c r="D25" s="219" t="s">
        <v>132</v>
      </c>
      <c r="E25" s="221"/>
      <c r="F25" s="221"/>
      <c r="G25" s="220"/>
      <c r="H25" s="75"/>
      <c r="I25" s="76"/>
    </row>
    <row r="26" spans="1:9" ht="89.25" customHeight="1" x14ac:dyDescent="0.2">
      <c r="A26" s="96" t="s">
        <v>129</v>
      </c>
      <c r="B26" s="231" t="s">
        <v>135</v>
      </c>
      <c r="C26" s="232"/>
      <c r="D26" s="231" t="s">
        <v>144</v>
      </c>
      <c r="E26" s="256"/>
      <c r="F26" s="256"/>
      <c r="G26" s="232"/>
      <c r="H26" s="97"/>
      <c r="I26" s="80"/>
    </row>
    <row r="27" spans="1:9" ht="209.1" customHeight="1" x14ac:dyDescent="0.2">
      <c r="A27" s="90" t="s">
        <v>123</v>
      </c>
      <c r="B27" s="236" t="s">
        <v>666</v>
      </c>
      <c r="C27" s="237"/>
      <c r="D27" s="238" t="s">
        <v>970</v>
      </c>
      <c r="E27" s="189"/>
      <c r="F27" s="189"/>
      <c r="G27" s="239"/>
      <c r="H27" s="81" t="s">
        <v>971</v>
      </c>
      <c r="I27" s="82">
        <f>ROUND((3.63 + ((4.04 - 3.63) / (7 - 5)) * (5.128 - 5)) * 1 * 540 * 4 * 1.2,2)</f>
        <v>9476.9699999999993</v>
      </c>
    </row>
    <row r="28" spans="1:9" ht="15.75" customHeight="1" x14ac:dyDescent="0.2">
      <c r="A28" s="71" t="s">
        <v>129</v>
      </c>
      <c r="B28" s="216" t="s">
        <v>130</v>
      </c>
      <c r="C28" s="217"/>
      <c r="D28" s="216"/>
      <c r="E28" s="218"/>
      <c r="F28" s="218"/>
      <c r="G28" s="217"/>
      <c r="H28" s="72"/>
      <c r="I28" s="73"/>
    </row>
    <row r="29" spans="1:9" ht="38.25" customHeight="1" x14ac:dyDescent="0.2">
      <c r="A29" s="74" t="s">
        <v>129</v>
      </c>
      <c r="B29" s="219" t="s">
        <v>131</v>
      </c>
      <c r="C29" s="220"/>
      <c r="D29" s="219" t="s">
        <v>132</v>
      </c>
      <c r="E29" s="221"/>
      <c r="F29" s="221"/>
      <c r="G29" s="220"/>
      <c r="H29" s="75"/>
      <c r="I29" s="76"/>
    </row>
    <row r="30" spans="1:9" ht="89.25" customHeight="1" x14ac:dyDescent="0.2">
      <c r="A30" s="96" t="s">
        <v>129</v>
      </c>
      <c r="B30" s="231" t="s">
        <v>135</v>
      </c>
      <c r="C30" s="232"/>
      <c r="D30" s="231" t="s">
        <v>144</v>
      </c>
      <c r="E30" s="256"/>
      <c r="F30" s="256"/>
      <c r="G30" s="232"/>
      <c r="H30" s="97"/>
      <c r="I30" s="80"/>
    </row>
    <row r="31" spans="1:9" ht="183.6" customHeight="1" x14ac:dyDescent="0.2">
      <c r="A31" s="90" t="s">
        <v>230</v>
      </c>
      <c r="B31" s="236" t="s">
        <v>667</v>
      </c>
      <c r="C31" s="237"/>
      <c r="D31" s="238" t="s">
        <v>668</v>
      </c>
      <c r="E31" s="189"/>
      <c r="F31" s="189"/>
      <c r="G31" s="239"/>
      <c r="H31" s="81" t="s">
        <v>669</v>
      </c>
      <c r="I31" s="82">
        <f>ROUND(0.77 * 12 * 540 * 4 * 1.2,2)</f>
        <v>23950.080000000002</v>
      </c>
    </row>
    <row r="32" spans="1:9" ht="15.75" customHeight="1" x14ac:dyDescent="0.2">
      <c r="A32" s="71" t="s">
        <v>129</v>
      </c>
      <c r="B32" s="216" t="s">
        <v>130</v>
      </c>
      <c r="C32" s="217"/>
      <c r="D32" s="216"/>
      <c r="E32" s="218"/>
      <c r="F32" s="218"/>
      <c r="G32" s="217"/>
      <c r="H32" s="72"/>
      <c r="I32" s="73"/>
    </row>
    <row r="33" spans="1:9" ht="38.25" customHeight="1" x14ac:dyDescent="0.2">
      <c r="A33" s="74" t="s">
        <v>129</v>
      </c>
      <c r="B33" s="219" t="s">
        <v>131</v>
      </c>
      <c r="C33" s="220"/>
      <c r="D33" s="219" t="s">
        <v>132</v>
      </c>
      <c r="E33" s="221"/>
      <c r="F33" s="221"/>
      <c r="G33" s="220"/>
      <c r="H33" s="75"/>
      <c r="I33" s="76"/>
    </row>
    <row r="34" spans="1:9" ht="89.25" customHeight="1" x14ac:dyDescent="0.2">
      <c r="A34" s="96" t="s">
        <v>129</v>
      </c>
      <c r="B34" s="231" t="s">
        <v>135</v>
      </c>
      <c r="C34" s="232"/>
      <c r="D34" s="231" t="s">
        <v>144</v>
      </c>
      <c r="E34" s="256"/>
      <c r="F34" s="256"/>
      <c r="G34" s="232"/>
      <c r="H34" s="97"/>
      <c r="I34" s="80"/>
    </row>
    <row r="35" spans="1:9" ht="183.6" customHeight="1" x14ac:dyDescent="0.2">
      <c r="A35" s="90" t="s">
        <v>365</v>
      </c>
      <c r="B35" s="236" t="s">
        <v>670</v>
      </c>
      <c r="C35" s="237"/>
      <c r="D35" s="238" t="s">
        <v>671</v>
      </c>
      <c r="E35" s="189"/>
      <c r="F35" s="189"/>
      <c r="G35" s="239"/>
      <c r="H35" s="81" t="s">
        <v>672</v>
      </c>
      <c r="I35" s="82">
        <f>ROUND(0.46 * 8 * 540 * 4 * 1.2,2)</f>
        <v>9538.56</v>
      </c>
    </row>
    <row r="36" spans="1:9" ht="15.75" customHeight="1" x14ac:dyDescent="0.2">
      <c r="A36" s="71" t="s">
        <v>129</v>
      </c>
      <c r="B36" s="216" t="s">
        <v>130</v>
      </c>
      <c r="C36" s="217"/>
      <c r="D36" s="216"/>
      <c r="E36" s="218"/>
      <c r="F36" s="218"/>
      <c r="G36" s="217"/>
      <c r="H36" s="72"/>
      <c r="I36" s="73"/>
    </row>
    <row r="37" spans="1:9" ht="38.25" customHeight="1" x14ac:dyDescent="0.2">
      <c r="A37" s="74" t="s">
        <v>129</v>
      </c>
      <c r="B37" s="219" t="s">
        <v>131</v>
      </c>
      <c r="C37" s="220"/>
      <c r="D37" s="219" t="s">
        <v>132</v>
      </c>
      <c r="E37" s="221"/>
      <c r="F37" s="221"/>
      <c r="G37" s="220"/>
      <c r="H37" s="75"/>
      <c r="I37" s="76"/>
    </row>
    <row r="38" spans="1:9" ht="89.25" customHeight="1" x14ac:dyDescent="0.2">
      <c r="A38" s="96" t="s">
        <v>129</v>
      </c>
      <c r="B38" s="231" t="s">
        <v>135</v>
      </c>
      <c r="C38" s="232"/>
      <c r="D38" s="231" t="s">
        <v>144</v>
      </c>
      <c r="E38" s="256"/>
      <c r="F38" s="256"/>
      <c r="G38" s="232"/>
      <c r="H38" s="97"/>
      <c r="I38" s="80"/>
    </row>
    <row r="39" spans="1:9" ht="183.6" customHeight="1" x14ac:dyDescent="0.2">
      <c r="A39" s="90" t="s">
        <v>367</v>
      </c>
      <c r="B39" s="236" t="s">
        <v>673</v>
      </c>
      <c r="C39" s="237"/>
      <c r="D39" s="238" t="s">
        <v>674</v>
      </c>
      <c r="E39" s="189"/>
      <c r="F39" s="189"/>
      <c r="G39" s="239"/>
      <c r="H39" s="81" t="s">
        <v>675</v>
      </c>
      <c r="I39" s="82">
        <f>ROUND(0.69 * 6 * 540 * 4 * 1.2,2)</f>
        <v>10730.88</v>
      </c>
    </row>
    <row r="40" spans="1:9" ht="15.75" customHeight="1" x14ac:dyDescent="0.2">
      <c r="A40" s="71" t="s">
        <v>129</v>
      </c>
      <c r="B40" s="216" t="s">
        <v>130</v>
      </c>
      <c r="C40" s="217"/>
      <c r="D40" s="216"/>
      <c r="E40" s="218"/>
      <c r="F40" s="218"/>
      <c r="G40" s="217"/>
      <c r="H40" s="72"/>
      <c r="I40" s="73"/>
    </row>
    <row r="41" spans="1:9" ht="38.25" customHeight="1" x14ac:dyDescent="0.2">
      <c r="A41" s="74" t="s">
        <v>129</v>
      </c>
      <c r="B41" s="219" t="s">
        <v>131</v>
      </c>
      <c r="C41" s="220"/>
      <c r="D41" s="219" t="s">
        <v>132</v>
      </c>
      <c r="E41" s="221"/>
      <c r="F41" s="221"/>
      <c r="G41" s="220"/>
      <c r="H41" s="75"/>
      <c r="I41" s="76"/>
    </row>
    <row r="42" spans="1:9" ht="89.25" customHeight="1" x14ac:dyDescent="0.2">
      <c r="A42" s="96" t="s">
        <v>129</v>
      </c>
      <c r="B42" s="231" t="s">
        <v>135</v>
      </c>
      <c r="C42" s="232"/>
      <c r="D42" s="231" t="s">
        <v>144</v>
      </c>
      <c r="E42" s="256"/>
      <c r="F42" s="256"/>
      <c r="G42" s="232"/>
      <c r="H42" s="97"/>
      <c r="I42" s="80"/>
    </row>
    <row r="43" spans="1:9" ht="183.6" customHeight="1" x14ac:dyDescent="0.2">
      <c r="A43" s="90" t="s">
        <v>370</v>
      </c>
      <c r="B43" s="236" t="s">
        <v>676</v>
      </c>
      <c r="C43" s="237"/>
      <c r="D43" s="238" t="s">
        <v>677</v>
      </c>
      <c r="E43" s="189"/>
      <c r="F43" s="189"/>
      <c r="G43" s="239"/>
      <c r="H43" s="81" t="s">
        <v>678</v>
      </c>
      <c r="I43" s="82">
        <f>ROUND(0.18 * 6 * 540 * 4 * 1.2,2)</f>
        <v>2799.36</v>
      </c>
    </row>
    <row r="44" spans="1:9" ht="15.75" customHeight="1" x14ac:dyDescent="0.2">
      <c r="A44" s="71" t="s">
        <v>129</v>
      </c>
      <c r="B44" s="216" t="s">
        <v>130</v>
      </c>
      <c r="C44" s="217"/>
      <c r="D44" s="216"/>
      <c r="E44" s="218"/>
      <c r="F44" s="218"/>
      <c r="G44" s="217"/>
      <c r="H44" s="72"/>
      <c r="I44" s="73"/>
    </row>
    <row r="45" spans="1:9" ht="38.25" customHeight="1" x14ac:dyDescent="0.2">
      <c r="A45" s="74" t="s">
        <v>129</v>
      </c>
      <c r="B45" s="219" t="s">
        <v>131</v>
      </c>
      <c r="C45" s="220"/>
      <c r="D45" s="219" t="s">
        <v>132</v>
      </c>
      <c r="E45" s="221"/>
      <c r="F45" s="221"/>
      <c r="G45" s="220"/>
      <c r="H45" s="75"/>
      <c r="I45" s="76"/>
    </row>
    <row r="46" spans="1:9" ht="89.25" customHeight="1" x14ac:dyDescent="0.2">
      <c r="A46" s="96" t="s">
        <v>129</v>
      </c>
      <c r="B46" s="231" t="s">
        <v>135</v>
      </c>
      <c r="C46" s="232"/>
      <c r="D46" s="231" t="s">
        <v>144</v>
      </c>
      <c r="E46" s="256"/>
      <c r="F46" s="256"/>
      <c r="G46" s="232"/>
      <c r="H46" s="97"/>
      <c r="I46" s="80"/>
    </row>
    <row r="47" spans="1:9" ht="183.6" customHeight="1" x14ac:dyDescent="0.2">
      <c r="A47" s="90" t="s">
        <v>371</v>
      </c>
      <c r="B47" s="236" t="s">
        <v>679</v>
      </c>
      <c r="C47" s="237"/>
      <c r="D47" s="238" t="s">
        <v>680</v>
      </c>
      <c r="E47" s="189"/>
      <c r="F47" s="189"/>
      <c r="G47" s="239"/>
      <c r="H47" s="81" t="s">
        <v>681</v>
      </c>
      <c r="I47" s="82">
        <f>ROUND(2.42 * 12 * 540 * 4 * 1.3 * 1.2,2)</f>
        <v>97853.18</v>
      </c>
    </row>
    <row r="48" spans="1:9" ht="15.75" customHeight="1" x14ac:dyDescent="0.2">
      <c r="A48" s="71" t="s">
        <v>129</v>
      </c>
      <c r="B48" s="216" t="s">
        <v>130</v>
      </c>
      <c r="C48" s="217"/>
      <c r="D48" s="216"/>
      <c r="E48" s="218"/>
      <c r="F48" s="218"/>
      <c r="G48" s="217"/>
      <c r="H48" s="72"/>
      <c r="I48" s="73"/>
    </row>
    <row r="49" spans="1:9" ht="38.25" customHeight="1" x14ac:dyDescent="0.2">
      <c r="A49" s="74" t="s">
        <v>129</v>
      </c>
      <c r="B49" s="219" t="s">
        <v>131</v>
      </c>
      <c r="C49" s="220"/>
      <c r="D49" s="219" t="s">
        <v>132</v>
      </c>
      <c r="E49" s="221"/>
      <c r="F49" s="221"/>
      <c r="G49" s="220"/>
      <c r="H49" s="75"/>
      <c r="I49" s="76"/>
    </row>
    <row r="50" spans="1:9" ht="76.5" customHeight="1" x14ac:dyDescent="0.2">
      <c r="A50" s="74" t="s">
        <v>129</v>
      </c>
      <c r="B50" s="219" t="s">
        <v>178</v>
      </c>
      <c r="C50" s="220"/>
      <c r="D50" s="219" t="s">
        <v>179</v>
      </c>
      <c r="E50" s="221"/>
      <c r="F50" s="221"/>
      <c r="G50" s="220"/>
      <c r="H50" s="75"/>
      <c r="I50" s="76"/>
    </row>
    <row r="51" spans="1:9" ht="89.25" customHeight="1" x14ac:dyDescent="0.2">
      <c r="A51" s="96" t="s">
        <v>129</v>
      </c>
      <c r="B51" s="231" t="s">
        <v>135</v>
      </c>
      <c r="C51" s="232"/>
      <c r="D51" s="231" t="s">
        <v>136</v>
      </c>
      <c r="E51" s="256"/>
      <c r="F51" s="256"/>
      <c r="G51" s="232"/>
      <c r="H51" s="97"/>
      <c r="I51" s="80"/>
    </row>
    <row r="52" spans="1:9" ht="183.6" customHeight="1" x14ac:dyDescent="0.2">
      <c r="A52" s="90" t="s">
        <v>375</v>
      </c>
      <c r="B52" s="236" t="s">
        <v>682</v>
      </c>
      <c r="C52" s="237"/>
      <c r="D52" s="238" t="s">
        <v>683</v>
      </c>
      <c r="E52" s="189"/>
      <c r="F52" s="189"/>
      <c r="G52" s="239"/>
      <c r="H52" s="81" t="s">
        <v>684</v>
      </c>
      <c r="I52" s="82">
        <f>ROUND(1.97 * 8 * 540 * 4 * 1.3 * 1.2,2)</f>
        <v>53104.9</v>
      </c>
    </row>
    <row r="53" spans="1:9" ht="15.75" customHeight="1" x14ac:dyDescent="0.2">
      <c r="A53" s="71" t="s">
        <v>129</v>
      </c>
      <c r="B53" s="216" t="s">
        <v>130</v>
      </c>
      <c r="C53" s="217"/>
      <c r="D53" s="216"/>
      <c r="E53" s="218"/>
      <c r="F53" s="218"/>
      <c r="G53" s="217"/>
      <c r="H53" s="72"/>
      <c r="I53" s="73"/>
    </row>
    <row r="54" spans="1:9" ht="38.25" customHeight="1" x14ac:dyDescent="0.2">
      <c r="A54" s="74" t="s">
        <v>129</v>
      </c>
      <c r="B54" s="219" t="s">
        <v>131</v>
      </c>
      <c r="C54" s="220"/>
      <c r="D54" s="219" t="s">
        <v>132</v>
      </c>
      <c r="E54" s="221"/>
      <c r="F54" s="221"/>
      <c r="G54" s="220"/>
      <c r="H54" s="75"/>
      <c r="I54" s="76"/>
    </row>
    <row r="55" spans="1:9" ht="76.5" customHeight="1" x14ac:dyDescent="0.2">
      <c r="A55" s="74" t="s">
        <v>129</v>
      </c>
      <c r="B55" s="219" t="s">
        <v>178</v>
      </c>
      <c r="C55" s="220"/>
      <c r="D55" s="219" t="s">
        <v>179</v>
      </c>
      <c r="E55" s="221"/>
      <c r="F55" s="221"/>
      <c r="G55" s="220"/>
      <c r="H55" s="75"/>
      <c r="I55" s="76"/>
    </row>
    <row r="56" spans="1:9" ht="89.25" customHeight="1" x14ac:dyDescent="0.2">
      <c r="A56" s="96" t="s">
        <v>129</v>
      </c>
      <c r="B56" s="231" t="s">
        <v>135</v>
      </c>
      <c r="C56" s="232"/>
      <c r="D56" s="231" t="s">
        <v>136</v>
      </c>
      <c r="E56" s="256"/>
      <c r="F56" s="256"/>
      <c r="G56" s="232"/>
      <c r="H56" s="97"/>
      <c r="I56" s="80"/>
    </row>
    <row r="57" spans="1:9" ht="183.6" customHeight="1" x14ac:dyDescent="0.2">
      <c r="A57" s="90" t="s">
        <v>379</v>
      </c>
      <c r="B57" s="236" t="s">
        <v>685</v>
      </c>
      <c r="C57" s="237"/>
      <c r="D57" s="238" t="s">
        <v>686</v>
      </c>
      <c r="E57" s="189"/>
      <c r="F57" s="189"/>
      <c r="G57" s="239"/>
      <c r="H57" s="81" t="s">
        <v>687</v>
      </c>
      <c r="I57" s="82">
        <f>ROUND(0.21 * 8 * 540 * 4 * 1.3 * 1.2,2)</f>
        <v>5660.93</v>
      </c>
    </row>
    <row r="58" spans="1:9" ht="15.75" customHeight="1" x14ac:dyDescent="0.2">
      <c r="A58" s="71" t="s">
        <v>129</v>
      </c>
      <c r="B58" s="216" t="s">
        <v>130</v>
      </c>
      <c r="C58" s="217"/>
      <c r="D58" s="216"/>
      <c r="E58" s="218"/>
      <c r="F58" s="218"/>
      <c r="G58" s="217"/>
      <c r="H58" s="72"/>
      <c r="I58" s="73"/>
    </row>
    <row r="59" spans="1:9" ht="38.25" customHeight="1" x14ac:dyDescent="0.2">
      <c r="A59" s="74" t="s">
        <v>129</v>
      </c>
      <c r="B59" s="219" t="s">
        <v>131</v>
      </c>
      <c r="C59" s="220"/>
      <c r="D59" s="219" t="s">
        <v>132</v>
      </c>
      <c r="E59" s="221"/>
      <c r="F59" s="221"/>
      <c r="G59" s="220"/>
      <c r="H59" s="75"/>
      <c r="I59" s="76"/>
    </row>
    <row r="60" spans="1:9" ht="76.5" customHeight="1" x14ac:dyDescent="0.2">
      <c r="A60" s="74" t="s">
        <v>129</v>
      </c>
      <c r="B60" s="219" t="s">
        <v>178</v>
      </c>
      <c r="C60" s="220"/>
      <c r="D60" s="219" t="s">
        <v>179</v>
      </c>
      <c r="E60" s="221"/>
      <c r="F60" s="221"/>
      <c r="G60" s="220"/>
      <c r="H60" s="75"/>
      <c r="I60" s="76"/>
    </row>
    <row r="61" spans="1:9" ht="89.25" customHeight="1" x14ac:dyDescent="0.2">
      <c r="A61" s="96" t="s">
        <v>129</v>
      </c>
      <c r="B61" s="231" t="s">
        <v>135</v>
      </c>
      <c r="C61" s="232"/>
      <c r="D61" s="231" t="s">
        <v>136</v>
      </c>
      <c r="E61" s="256"/>
      <c r="F61" s="256"/>
      <c r="G61" s="232"/>
      <c r="H61" s="97"/>
      <c r="I61" s="80"/>
    </row>
    <row r="62" spans="1:9" ht="196.35" customHeight="1" x14ac:dyDescent="0.2">
      <c r="A62" s="206" t="s">
        <v>383</v>
      </c>
      <c r="B62" s="236" t="s">
        <v>688</v>
      </c>
      <c r="C62" s="237"/>
      <c r="D62" s="238" t="s">
        <v>689</v>
      </c>
      <c r="E62" s="189"/>
      <c r="F62" s="189"/>
      <c r="G62" s="239"/>
      <c r="H62" s="202" t="s">
        <v>690</v>
      </c>
      <c r="I62" s="205">
        <f>ROUND(0.76 * 8 * 540 * 4 * 1.2,2)</f>
        <v>15759.36</v>
      </c>
    </row>
    <row r="63" spans="1:9" ht="12.75" customHeight="1" x14ac:dyDescent="0.2">
      <c r="A63" s="206"/>
      <c r="B63" s="236"/>
      <c r="C63" s="237"/>
      <c r="D63" s="238"/>
      <c r="E63" s="189"/>
      <c r="F63" s="189"/>
      <c r="G63" s="239"/>
      <c r="H63" s="202"/>
      <c r="I63" s="205"/>
    </row>
    <row r="64" spans="1:9" ht="15.75" customHeight="1" x14ac:dyDescent="0.2">
      <c r="A64" s="71" t="s">
        <v>129</v>
      </c>
      <c r="B64" s="216" t="s">
        <v>130</v>
      </c>
      <c r="C64" s="217"/>
      <c r="D64" s="216"/>
      <c r="E64" s="218"/>
      <c r="F64" s="218"/>
      <c r="G64" s="217"/>
      <c r="H64" s="72"/>
      <c r="I64" s="73"/>
    </row>
    <row r="65" spans="1:9" ht="38.25" customHeight="1" x14ac:dyDescent="0.2">
      <c r="A65" s="74" t="s">
        <v>129</v>
      </c>
      <c r="B65" s="219" t="s">
        <v>131</v>
      </c>
      <c r="C65" s="220"/>
      <c r="D65" s="219" t="s">
        <v>132</v>
      </c>
      <c r="E65" s="221"/>
      <c r="F65" s="221"/>
      <c r="G65" s="220"/>
      <c r="H65" s="75"/>
      <c r="I65" s="76"/>
    </row>
    <row r="66" spans="1:9" ht="89.25" customHeight="1" x14ac:dyDescent="0.2">
      <c r="A66" s="96" t="s">
        <v>129</v>
      </c>
      <c r="B66" s="231" t="s">
        <v>135</v>
      </c>
      <c r="C66" s="232"/>
      <c r="D66" s="231" t="s">
        <v>144</v>
      </c>
      <c r="E66" s="256"/>
      <c r="F66" s="256"/>
      <c r="G66" s="232"/>
      <c r="H66" s="97"/>
      <c r="I66" s="80"/>
    </row>
    <row r="67" spans="1:9" ht="209.1" customHeight="1" x14ac:dyDescent="0.2">
      <c r="A67" s="90" t="s">
        <v>691</v>
      </c>
      <c r="B67" s="236" t="s">
        <v>692</v>
      </c>
      <c r="C67" s="237"/>
      <c r="D67" s="238" t="s">
        <v>693</v>
      </c>
      <c r="E67" s="189"/>
      <c r="F67" s="189"/>
      <c r="G67" s="239"/>
      <c r="H67" s="81" t="s">
        <v>694</v>
      </c>
      <c r="I67" s="82">
        <f>ROUND(0.27 * 6 * 540 * 4 * 1.2,2)</f>
        <v>4199.04</v>
      </c>
    </row>
    <row r="68" spans="1:9" ht="15.75" customHeight="1" x14ac:dyDescent="0.2">
      <c r="A68" s="71" t="s">
        <v>129</v>
      </c>
      <c r="B68" s="216" t="s">
        <v>130</v>
      </c>
      <c r="C68" s="217"/>
      <c r="D68" s="216"/>
      <c r="E68" s="218"/>
      <c r="F68" s="218"/>
      <c r="G68" s="217"/>
      <c r="H68" s="72"/>
      <c r="I68" s="73"/>
    </row>
    <row r="69" spans="1:9" ht="38.25" customHeight="1" x14ac:dyDescent="0.2">
      <c r="A69" s="74" t="s">
        <v>129</v>
      </c>
      <c r="B69" s="219" t="s">
        <v>131</v>
      </c>
      <c r="C69" s="220"/>
      <c r="D69" s="219" t="s">
        <v>132</v>
      </c>
      <c r="E69" s="221"/>
      <c r="F69" s="221"/>
      <c r="G69" s="220"/>
      <c r="H69" s="75"/>
      <c r="I69" s="76"/>
    </row>
    <row r="70" spans="1:9" ht="89.25" customHeight="1" x14ac:dyDescent="0.2">
      <c r="A70" s="96" t="s">
        <v>129</v>
      </c>
      <c r="B70" s="231" t="s">
        <v>135</v>
      </c>
      <c r="C70" s="232"/>
      <c r="D70" s="231" t="s">
        <v>144</v>
      </c>
      <c r="E70" s="256"/>
      <c r="F70" s="256"/>
      <c r="G70" s="232"/>
      <c r="H70" s="97"/>
      <c r="I70" s="80"/>
    </row>
    <row r="71" spans="1:9" ht="196.35" customHeight="1" x14ac:dyDescent="0.2">
      <c r="A71" s="206" t="s">
        <v>695</v>
      </c>
      <c r="B71" s="236" t="s">
        <v>696</v>
      </c>
      <c r="C71" s="237"/>
      <c r="D71" s="238" t="s">
        <v>697</v>
      </c>
      <c r="E71" s="189"/>
      <c r="F71" s="189"/>
      <c r="G71" s="239"/>
      <c r="H71" s="202" t="s">
        <v>698</v>
      </c>
      <c r="I71" s="205">
        <f>ROUND(0.81 * 12 * 540 * 4 * 1.2,2)</f>
        <v>25194.240000000002</v>
      </c>
    </row>
    <row r="72" spans="1:9" ht="12.75" customHeight="1" x14ac:dyDescent="0.2">
      <c r="A72" s="206"/>
      <c r="B72" s="236"/>
      <c r="C72" s="237"/>
      <c r="D72" s="238"/>
      <c r="E72" s="189"/>
      <c r="F72" s="189"/>
      <c r="G72" s="239"/>
      <c r="H72" s="202"/>
      <c r="I72" s="205"/>
    </row>
    <row r="73" spans="1:9" ht="15.75" customHeight="1" x14ac:dyDescent="0.2">
      <c r="A73" s="71" t="s">
        <v>129</v>
      </c>
      <c r="B73" s="216" t="s">
        <v>130</v>
      </c>
      <c r="C73" s="217"/>
      <c r="D73" s="216"/>
      <c r="E73" s="218"/>
      <c r="F73" s="218"/>
      <c r="G73" s="217"/>
      <c r="H73" s="72"/>
      <c r="I73" s="73"/>
    </row>
    <row r="74" spans="1:9" ht="38.25" customHeight="1" x14ac:dyDescent="0.2">
      <c r="A74" s="74" t="s">
        <v>129</v>
      </c>
      <c r="B74" s="219" t="s">
        <v>131</v>
      </c>
      <c r="C74" s="220"/>
      <c r="D74" s="219" t="s">
        <v>132</v>
      </c>
      <c r="E74" s="221"/>
      <c r="F74" s="221"/>
      <c r="G74" s="220"/>
      <c r="H74" s="75"/>
      <c r="I74" s="76"/>
    </row>
    <row r="75" spans="1:9" ht="89.25" customHeight="1" x14ac:dyDescent="0.2">
      <c r="A75" s="96" t="s">
        <v>129</v>
      </c>
      <c r="B75" s="231" t="s">
        <v>135</v>
      </c>
      <c r="C75" s="232"/>
      <c r="D75" s="231" t="s">
        <v>144</v>
      </c>
      <c r="E75" s="256"/>
      <c r="F75" s="256"/>
      <c r="G75" s="232"/>
      <c r="H75" s="97"/>
      <c r="I75" s="80"/>
    </row>
    <row r="76" spans="1:9" ht="209.1" customHeight="1" x14ac:dyDescent="0.2">
      <c r="A76" s="90" t="s">
        <v>699</v>
      </c>
      <c r="B76" s="236" t="s">
        <v>700</v>
      </c>
      <c r="C76" s="237"/>
      <c r="D76" s="238" t="s">
        <v>701</v>
      </c>
      <c r="E76" s="189"/>
      <c r="F76" s="189"/>
      <c r="G76" s="239"/>
      <c r="H76" s="81" t="s">
        <v>702</v>
      </c>
      <c r="I76" s="82">
        <f>ROUND(0.3 * 8 * 540 * 4 * 1.2,2)</f>
        <v>6220.8</v>
      </c>
    </row>
    <row r="77" spans="1:9" ht="15.75" customHeight="1" x14ac:dyDescent="0.2">
      <c r="A77" s="71" t="s">
        <v>129</v>
      </c>
      <c r="B77" s="216" t="s">
        <v>130</v>
      </c>
      <c r="C77" s="217"/>
      <c r="D77" s="216"/>
      <c r="E77" s="218"/>
      <c r="F77" s="218"/>
      <c r="G77" s="217"/>
      <c r="H77" s="72"/>
      <c r="I77" s="73"/>
    </row>
    <row r="78" spans="1:9" ht="38.25" customHeight="1" x14ac:dyDescent="0.2">
      <c r="A78" s="74" t="s">
        <v>129</v>
      </c>
      <c r="B78" s="219" t="s">
        <v>131</v>
      </c>
      <c r="C78" s="220"/>
      <c r="D78" s="219" t="s">
        <v>132</v>
      </c>
      <c r="E78" s="221"/>
      <c r="F78" s="221"/>
      <c r="G78" s="220"/>
      <c r="H78" s="75"/>
      <c r="I78" s="76"/>
    </row>
    <row r="79" spans="1:9" ht="89.25" customHeight="1" x14ac:dyDescent="0.2">
      <c r="A79" s="96" t="s">
        <v>129</v>
      </c>
      <c r="B79" s="231" t="s">
        <v>135</v>
      </c>
      <c r="C79" s="232"/>
      <c r="D79" s="231" t="s">
        <v>144</v>
      </c>
      <c r="E79" s="256"/>
      <c r="F79" s="256"/>
      <c r="G79" s="232"/>
      <c r="H79" s="97"/>
      <c r="I79" s="80"/>
    </row>
    <row r="80" spans="1:9" ht="260.10000000000002" customHeight="1" x14ac:dyDescent="0.2">
      <c r="A80" s="206" t="s">
        <v>703</v>
      </c>
      <c r="B80" s="236" t="s">
        <v>258</v>
      </c>
      <c r="C80" s="237"/>
      <c r="D80" s="238" t="s">
        <v>704</v>
      </c>
      <c r="E80" s="189"/>
      <c r="F80" s="189"/>
      <c r="G80" s="239"/>
      <c r="H80" s="202" t="s">
        <v>705</v>
      </c>
      <c r="I80" s="205">
        <f>ROUND(6 * 94 * 540 * 4,2)</f>
        <v>1218240</v>
      </c>
    </row>
    <row r="81" spans="1:9" ht="12.75" customHeight="1" x14ac:dyDescent="0.2">
      <c r="A81" s="206"/>
      <c r="B81" s="236"/>
      <c r="C81" s="237"/>
      <c r="D81" s="238"/>
      <c r="E81" s="189"/>
      <c r="F81" s="189"/>
      <c r="G81" s="239"/>
      <c r="H81" s="202"/>
      <c r="I81" s="205"/>
    </row>
    <row r="82" spans="1:9" ht="15.75" customHeight="1" x14ac:dyDescent="0.2">
      <c r="A82" s="71" t="s">
        <v>129</v>
      </c>
      <c r="B82" s="216" t="s">
        <v>130</v>
      </c>
      <c r="C82" s="217"/>
      <c r="D82" s="216"/>
      <c r="E82" s="218"/>
      <c r="F82" s="218"/>
      <c r="G82" s="217"/>
      <c r="H82" s="72"/>
      <c r="I82" s="73"/>
    </row>
    <row r="83" spans="1:9" ht="38.25" customHeight="1" x14ac:dyDescent="0.2">
      <c r="A83" s="96" t="s">
        <v>129</v>
      </c>
      <c r="B83" s="231" t="s">
        <v>131</v>
      </c>
      <c r="C83" s="232"/>
      <c r="D83" s="231" t="s">
        <v>132</v>
      </c>
      <c r="E83" s="256"/>
      <c r="F83" s="256"/>
      <c r="G83" s="232"/>
      <c r="H83" s="97"/>
      <c r="I83" s="80"/>
    </row>
    <row r="84" spans="1:9" ht="25.5" customHeight="1" x14ac:dyDescent="0.2">
      <c r="A84" s="96" t="s">
        <v>706</v>
      </c>
      <c r="B84" s="243" t="s">
        <v>707</v>
      </c>
      <c r="C84" s="244"/>
      <c r="D84" s="243"/>
      <c r="E84" s="245"/>
      <c r="F84" s="245"/>
      <c r="G84" s="244"/>
      <c r="H84" s="83"/>
      <c r="I84" s="84">
        <f>ROUND((SUM($I$18:$I$80)),2)</f>
        <v>1533369.56</v>
      </c>
    </row>
    <row r="85" spans="1:9" ht="25.5" customHeight="1" x14ac:dyDescent="0.2">
      <c r="A85" s="65" t="s">
        <v>708</v>
      </c>
      <c r="B85" s="228" t="s">
        <v>709</v>
      </c>
      <c r="C85" s="229"/>
      <c r="D85" s="228"/>
      <c r="E85" s="230"/>
      <c r="F85" s="230"/>
      <c r="G85" s="229"/>
      <c r="H85" s="66"/>
      <c r="I85" s="70">
        <f>ROUND(($I$84),2)</f>
        <v>1533369.56</v>
      </c>
    </row>
    <row r="86" spans="1:9" ht="12.75" customHeight="1" x14ac:dyDescent="0.2">
      <c r="A86" s="65" t="s">
        <v>7</v>
      </c>
      <c r="B86" s="228" t="s">
        <v>213</v>
      </c>
      <c r="C86" s="229"/>
      <c r="D86" s="228"/>
      <c r="E86" s="230"/>
      <c r="F86" s="230"/>
      <c r="G86" s="229"/>
      <c r="H86" s="66"/>
      <c r="I86" s="70">
        <f>ROUND(($I$85),2)</f>
        <v>1533369.56</v>
      </c>
    </row>
    <row r="87" spans="1:9" ht="12.75" customHeight="1" x14ac:dyDescent="0.2">
      <c r="A87" s="65" t="s">
        <v>23</v>
      </c>
      <c r="B87" s="228" t="s">
        <v>214</v>
      </c>
      <c r="C87" s="229"/>
      <c r="D87" s="228"/>
      <c r="E87" s="230"/>
      <c r="F87" s="230"/>
      <c r="G87" s="229"/>
      <c r="H87" s="66"/>
      <c r="I87" s="70">
        <f>ROUND(($I$86),2)</f>
        <v>1533369.56</v>
      </c>
    </row>
    <row r="88" spans="1:9" ht="12.75" customHeight="1" x14ac:dyDescent="0.2"/>
    <row r="89" spans="1:9" s="93" customFormat="1" ht="24.95" customHeight="1" x14ac:dyDescent="0.25">
      <c r="A89" s="189" t="s">
        <v>215</v>
      </c>
      <c r="B89" s="189"/>
      <c r="C89" s="189"/>
      <c r="D89" s="189"/>
      <c r="E89" s="189"/>
      <c r="F89" s="189"/>
      <c r="G89" s="189"/>
      <c r="H89" s="189"/>
      <c r="I89" s="189"/>
    </row>
    <row r="90" spans="1:9" ht="12.75" customHeight="1" x14ac:dyDescent="0.2">
      <c r="D90" s="95"/>
    </row>
  </sheetData>
  <mergeCells count="165">
    <mergeCell ref="B87:C87"/>
    <mergeCell ref="D87:G87"/>
    <mergeCell ref="A89:C89"/>
    <mergeCell ref="D89:I89"/>
    <mergeCell ref="B84:C84"/>
    <mergeCell ref="D84:G84"/>
    <mergeCell ref="B85:C85"/>
    <mergeCell ref="D85:G85"/>
    <mergeCell ref="B86:C86"/>
    <mergeCell ref="D86:G86"/>
    <mergeCell ref="H80:H81"/>
    <mergeCell ref="I80:I81"/>
    <mergeCell ref="B82:C82"/>
    <mergeCell ref="D82:G82"/>
    <mergeCell ref="B83:C83"/>
    <mergeCell ref="D83:G83"/>
    <mergeCell ref="B78:C78"/>
    <mergeCell ref="D78:G78"/>
    <mergeCell ref="B79:C79"/>
    <mergeCell ref="D79:G79"/>
    <mergeCell ref="A80:A81"/>
    <mergeCell ref="B80:C81"/>
    <mergeCell ref="D80:G81"/>
    <mergeCell ref="B75:C75"/>
    <mergeCell ref="D75:G75"/>
    <mergeCell ref="B76:C76"/>
    <mergeCell ref="D76:G76"/>
    <mergeCell ref="B77:C77"/>
    <mergeCell ref="D77:G77"/>
    <mergeCell ref="H71:H72"/>
    <mergeCell ref="I71:I72"/>
    <mergeCell ref="B73:C73"/>
    <mergeCell ref="D73:G73"/>
    <mergeCell ref="B74:C74"/>
    <mergeCell ref="D74:G74"/>
    <mergeCell ref="B69:C69"/>
    <mergeCell ref="D69:G69"/>
    <mergeCell ref="B70:C70"/>
    <mergeCell ref="D70:G70"/>
    <mergeCell ref="A71:A72"/>
    <mergeCell ref="B71:C72"/>
    <mergeCell ref="D71:G72"/>
    <mergeCell ref="B66:C66"/>
    <mergeCell ref="D66:G66"/>
    <mergeCell ref="B67:C67"/>
    <mergeCell ref="D67:G67"/>
    <mergeCell ref="B68:C68"/>
    <mergeCell ref="D68:G68"/>
    <mergeCell ref="H62:H63"/>
    <mergeCell ref="I62:I63"/>
    <mergeCell ref="B64:C64"/>
    <mergeCell ref="D64:G64"/>
    <mergeCell ref="B65:C65"/>
    <mergeCell ref="D65:G65"/>
    <mergeCell ref="B60:C60"/>
    <mergeCell ref="D60:G60"/>
    <mergeCell ref="B61:C61"/>
    <mergeCell ref="D61:G61"/>
    <mergeCell ref="A62:A63"/>
    <mergeCell ref="B62:C63"/>
    <mergeCell ref="D62:G63"/>
    <mergeCell ref="B57:C57"/>
    <mergeCell ref="D57:G57"/>
    <mergeCell ref="B58:C58"/>
    <mergeCell ref="D58:G58"/>
    <mergeCell ref="B59:C59"/>
    <mergeCell ref="D59:G59"/>
    <mergeCell ref="B54:C54"/>
    <mergeCell ref="D54:G54"/>
    <mergeCell ref="B55:C55"/>
    <mergeCell ref="D55:G55"/>
    <mergeCell ref="B56:C56"/>
    <mergeCell ref="D56:G56"/>
    <mergeCell ref="B51:C51"/>
    <mergeCell ref="D51:G51"/>
    <mergeCell ref="B52:C52"/>
    <mergeCell ref="D52:G52"/>
    <mergeCell ref="B53:C53"/>
    <mergeCell ref="D53:G53"/>
    <mergeCell ref="B48:C48"/>
    <mergeCell ref="D48:G48"/>
    <mergeCell ref="B49:C49"/>
    <mergeCell ref="D49:G49"/>
    <mergeCell ref="B50:C50"/>
    <mergeCell ref="D50:G50"/>
    <mergeCell ref="B45:C45"/>
    <mergeCell ref="D45:G45"/>
    <mergeCell ref="B46:C46"/>
    <mergeCell ref="D46:G46"/>
    <mergeCell ref="B47:C47"/>
    <mergeCell ref="D47:G47"/>
    <mergeCell ref="B42:C42"/>
    <mergeCell ref="D42:G42"/>
    <mergeCell ref="B43:C43"/>
    <mergeCell ref="D43:G43"/>
    <mergeCell ref="B44:C44"/>
    <mergeCell ref="D44:G44"/>
    <mergeCell ref="B39:C39"/>
    <mergeCell ref="D39:G39"/>
    <mergeCell ref="B40:C40"/>
    <mergeCell ref="D40:G40"/>
    <mergeCell ref="B41:C41"/>
    <mergeCell ref="D41:G41"/>
    <mergeCell ref="B36:C36"/>
    <mergeCell ref="D36:G36"/>
    <mergeCell ref="B37:C37"/>
    <mergeCell ref="D37:G37"/>
    <mergeCell ref="B38:C38"/>
    <mergeCell ref="D38:G38"/>
    <mergeCell ref="B33:C33"/>
    <mergeCell ref="D33:G33"/>
    <mergeCell ref="B34:C34"/>
    <mergeCell ref="D34:G34"/>
    <mergeCell ref="B35:C35"/>
    <mergeCell ref="D35:G35"/>
    <mergeCell ref="B30:C30"/>
    <mergeCell ref="D30:G30"/>
    <mergeCell ref="B31:C31"/>
    <mergeCell ref="D31:G31"/>
    <mergeCell ref="B32:C32"/>
    <mergeCell ref="D32:G32"/>
    <mergeCell ref="B27:C27"/>
    <mergeCell ref="D27:G27"/>
    <mergeCell ref="B28:C28"/>
    <mergeCell ref="D28:G28"/>
    <mergeCell ref="B29:C29"/>
    <mergeCell ref="D29:G29"/>
    <mergeCell ref="I22:I23"/>
    <mergeCell ref="B24:C24"/>
    <mergeCell ref="D24:G24"/>
    <mergeCell ref="B25:C25"/>
    <mergeCell ref="D25:G25"/>
    <mergeCell ref="B26:C26"/>
    <mergeCell ref="D26:G26"/>
    <mergeCell ref="B21:C21"/>
    <mergeCell ref="D21:G21"/>
    <mergeCell ref="A22:A23"/>
    <mergeCell ref="B22:C23"/>
    <mergeCell ref="D22:G23"/>
    <mergeCell ref="H22:H23"/>
    <mergeCell ref="B18:C18"/>
    <mergeCell ref="D18:G18"/>
    <mergeCell ref="B19:C19"/>
    <mergeCell ref="D19:G19"/>
    <mergeCell ref="B20:C20"/>
    <mergeCell ref="D20:G20"/>
    <mergeCell ref="B16:C16"/>
    <mergeCell ref="D16:G16"/>
    <mergeCell ref="B17:C17"/>
    <mergeCell ref="D17:G17"/>
    <mergeCell ref="A8:C8"/>
    <mergeCell ref="D8:I8"/>
    <mergeCell ref="A10:C10"/>
    <mergeCell ref="D10:I10"/>
    <mergeCell ref="A12:C12"/>
    <mergeCell ref="D12:I12"/>
    <mergeCell ref="A1:C1"/>
    <mergeCell ref="D1:I1"/>
    <mergeCell ref="A3:I3"/>
    <mergeCell ref="A4:I4"/>
    <mergeCell ref="A6:C6"/>
    <mergeCell ref="D6:I6"/>
    <mergeCell ref="A14:I14"/>
    <mergeCell ref="B15:C15"/>
    <mergeCell ref="D15:G15"/>
  </mergeCells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876F5-9ADB-488A-9734-49966B046A79}">
  <dimension ref="A1:I56"/>
  <sheetViews>
    <sheetView topLeftCell="A40" workbookViewId="0">
      <selection activeCell="Q68" sqref="Q68"/>
    </sheetView>
  </sheetViews>
  <sheetFormatPr defaultColWidth="11.5703125" defaultRowHeight="12.75" x14ac:dyDescent="0.2"/>
  <cols>
    <col min="1" max="1" width="3.7109375" style="107" customWidth="1"/>
    <col min="2" max="2" width="10.7109375" style="107" customWidth="1"/>
    <col min="3" max="3" width="15.5703125" style="107" customWidth="1"/>
    <col min="4" max="4" width="4.42578125" style="107" customWidth="1"/>
    <col min="5" max="7" width="9.28515625" style="107" customWidth="1"/>
    <col min="8" max="8" width="19.7109375" style="107" customWidth="1"/>
    <col min="9" max="9" width="14.7109375" style="107" customWidth="1"/>
    <col min="10" max="10" width="19.7109375" style="58" customWidth="1"/>
    <col min="11" max="16384" width="11.5703125" style="58"/>
  </cols>
  <sheetData>
    <row r="1" spans="1:9" ht="25.5" customHeight="1" x14ac:dyDescent="0.2">
      <c r="A1" s="208" t="s">
        <v>99</v>
      </c>
      <c r="B1" s="208"/>
      <c r="C1" s="208"/>
      <c r="D1" s="192" t="s">
        <v>911</v>
      </c>
      <c r="E1" s="192"/>
      <c r="F1" s="192"/>
      <c r="G1" s="192"/>
      <c r="H1" s="192"/>
      <c r="I1" s="192"/>
    </row>
    <row r="2" spans="1:9" x14ac:dyDescent="0.2">
      <c r="A2" s="59"/>
      <c r="B2" s="59"/>
      <c r="C2" s="59"/>
      <c r="D2" s="60"/>
      <c r="E2" s="60"/>
      <c r="F2" s="60"/>
      <c r="G2" s="60"/>
      <c r="H2" s="60"/>
      <c r="I2" s="60"/>
    </row>
    <row r="3" spans="1:9" x14ac:dyDescent="0.2">
      <c r="A3" s="193" t="s">
        <v>759</v>
      </c>
      <c r="B3" s="193"/>
      <c r="C3" s="193"/>
      <c r="D3" s="193"/>
      <c r="E3" s="193"/>
      <c r="F3" s="193"/>
      <c r="G3" s="193"/>
      <c r="H3" s="193"/>
      <c r="I3" s="193"/>
    </row>
    <row r="4" spans="1:9" x14ac:dyDescent="0.2">
      <c r="A4" s="209" t="s">
        <v>101</v>
      </c>
      <c r="B4" s="209"/>
      <c r="C4" s="209"/>
      <c r="D4" s="209"/>
      <c r="E4" s="209"/>
      <c r="F4" s="209"/>
      <c r="G4" s="209"/>
      <c r="H4" s="209"/>
      <c r="I4" s="209"/>
    </row>
    <row r="5" spans="1:9" x14ac:dyDescent="0.2">
      <c r="A5" s="92"/>
      <c r="B5" s="92"/>
      <c r="C5" s="92"/>
      <c r="D5" s="92"/>
      <c r="E5" s="92"/>
      <c r="F5" s="92"/>
      <c r="G5" s="92"/>
      <c r="H5" s="92"/>
      <c r="I5" s="92"/>
    </row>
    <row r="6" spans="1:9" ht="51" customHeight="1" x14ac:dyDescent="0.2">
      <c r="A6" s="210" t="s">
        <v>102</v>
      </c>
      <c r="B6" s="210"/>
      <c r="C6" s="210"/>
      <c r="D6" s="189" t="s">
        <v>87</v>
      </c>
      <c r="E6" s="189"/>
      <c r="F6" s="189"/>
      <c r="G6" s="189"/>
      <c r="H6" s="189"/>
      <c r="I6" s="189"/>
    </row>
    <row r="7" spans="1:9" ht="3.75" customHeight="1" x14ac:dyDescent="0.2">
      <c r="D7" s="59"/>
      <c r="E7" s="59"/>
      <c r="F7" s="59"/>
      <c r="G7" s="59"/>
    </row>
    <row r="8" spans="1:9" ht="66" customHeight="1" x14ac:dyDescent="0.2">
      <c r="A8" s="189" t="s">
        <v>103</v>
      </c>
      <c r="B8" s="189"/>
      <c r="C8" s="189"/>
      <c r="D8" s="196" t="s">
        <v>711</v>
      </c>
      <c r="E8" s="196"/>
      <c r="F8" s="196"/>
      <c r="G8" s="196"/>
      <c r="H8" s="196"/>
      <c r="I8" s="196"/>
    </row>
    <row r="9" spans="1:9" ht="3.95" customHeight="1" x14ac:dyDescent="0.2">
      <c r="A9" s="94"/>
      <c r="B9" s="94"/>
      <c r="C9" s="94"/>
    </row>
    <row r="10" spans="1:9" ht="41.25" customHeight="1" x14ac:dyDescent="0.2">
      <c r="A10" s="189" t="s">
        <v>105</v>
      </c>
      <c r="B10" s="189"/>
      <c r="C10" s="189"/>
      <c r="D10" s="189"/>
      <c r="E10" s="189"/>
      <c r="F10" s="189"/>
      <c r="G10" s="189"/>
      <c r="H10" s="189"/>
      <c r="I10" s="189"/>
    </row>
    <row r="11" spans="1:9" ht="3.95" customHeight="1" x14ac:dyDescent="0.2"/>
    <row r="12" spans="1:9" ht="30" customHeight="1" x14ac:dyDescent="0.2">
      <c r="A12" s="189" t="s">
        <v>106</v>
      </c>
      <c r="B12" s="189"/>
      <c r="C12" s="189"/>
      <c r="D12" s="189"/>
      <c r="E12" s="189"/>
      <c r="F12" s="189"/>
      <c r="G12" s="189"/>
      <c r="H12" s="189"/>
      <c r="I12" s="189"/>
    </row>
    <row r="13" spans="1:9" ht="3.75" customHeight="1" x14ac:dyDescent="0.2">
      <c r="A13" s="94"/>
      <c r="B13" s="94"/>
      <c r="C13" s="94"/>
      <c r="D13" s="63"/>
      <c r="E13" s="63"/>
      <c r="F13" s="63"/>
      <c r="G13" s="63"/>
      <c r="H13" s="94"/>
      <c r="I13" s="94"/>
    </row>
    <row r="14" spans="1:9" ht="12.75" customHeight="1" x14ac:dyDescent="0.2">
      <c r="A14" s="198" t="s">
        <v>218</v>
      </c>
      <c r="B14" s="198"/>
      <c r="C14" s="198"/>
      <c r="D14" s="198"/>
      <c r="E14" s="198"/>
      <c r="F14" s="198"/>
      <c r="G14" s="198"/>
      <c r="H14" s="198"/>
      <c r="I14" s="198"/>
    </row>
    <row r="15" spans="1:9" ht="100.5" customHeight="1" x14ac:dyDescent="0.2">
      <c r="A15" s="137" t="s">
        <v>108</v>
      </c>
      <c r="B15" s="222" t="s">
        <v>109</v>
      </c>
      <c r="C15" s="223"/>
      <c r="D15" s="222" t="s">
        <v>110</v>
      </c>
      <c r="E15" s="224"/>
      <c r="F15" s="224"/>
      <c r="G15" s="223"/>
      <c r="H15" s="138" t="s">
        <v>113</v>
      </c>
      <c r="I15" s="137" t="s">
        <v>114</v>
      </c>
    </row>
    <row r="16" spans="1:9" x14ac:dyDescent="0.2">
      <c r="A16" s="128" t="s">
        <v>6</v>
      </c>
      <c r="B16" s="255">
        <v>2</v>
      </c>
      <c r="C16" s="226"/>
      <c r="D16" s="255">
        <v>3</v>
      </c>
      <c r="E16" s="227"/>
      <c r="F16" s="227"/>
      <c r="G16" s="226"/>
      <c r="H16" s="129">
        <v>4</v>
      </c>
      <c r="I16" s="129">
        <v>5</v>
      </c>
    </row>
    <row r="17" spans="1:9" ht="25.5" customHeight="1" x14ac:dyDescent="0.2">
      <c r="A17" s="65" t="s">
        <v>6</v>
      </c>
      <c r="B17" s="228" t="s">
        <v>115</v>
      </c>
      <c r="C17" s="229"/>
      <c r="D17" s="228" t="s">
        <v>623</v>
      </c>
      <c r="E17" s="230"/>
      <c r="F17" s="230"/>
      <c r="G17" s="229"/>
      <c r="H17" s="66"/>
      <c r="I17" s="67"/>
    </row>
    <row r="18" spans="1:9" ht="145.35" customHeight="1" x14ac:dyDescent="0.2">
      <c r="A18" s="85" t="s">
        <v>117</v>
      </c>
      <c r="B18" s="211" t="s">
        <v>972</v>
      </c>
      <c r="C18" s="212"/>
      <c r="D18" s="213" t="s">
        <v>624</v>
      </c>
      <c r="E18" s="214"/>
      <c r="F18" s="214"/>
      <c r="G18" s="215"/>
      <c r="H18" s="87" t="s">
        <v>712</v>
      </c>
      <c r="I18" s="88">
        <f>ROUND((1239100  + 125950  * (0.4 * 10 + 0.6 * 10 / 2)) * 1 * 0.6 * 4.75 * 1.04 * 1.1 * 0.8 * 0.7 * 0.71,2)</f>
        <v>2749202.54</v>
      </c>
    </row>
    <row r="19" spans="1:9" ht="15.75" customHeight="1" x14ac:dyDescent="0.2">
      <c r="A19" s="71" t="s">
        <v>129</v>
      </c>
      <c r="B19" s="216" t="s">
        <v>130</v>
      </c>
      <c r="C19" s="217"/>
      <c r="D19" s="216"/>
      <c r="E19" s="218"/>
      <c r="F19" s="218"/>
      <c r="G19" s="217"/>
      <c r="H19" s="72"/>
      <c r="I19" s="73"/>
    </row>
    <row r="20" spans="1:9" ht="25.5" customHeight="1" x14ac:dyDescent="0.2">
      <c r="A20" s="74" t="s">
        <v>129</v>
      </c>
      <c r="B20" s="219" t="s">
        <v>713</v>
      </c>
      <c r="C20" s="220"/>
      <c r="D20" s="219" t="s">
        <v>714</v>
      </c>
      <c r="E20" s="221"/>
      <c r="F20" s="221"/>
      <c r="G20" s="220"/>
      <c r="H20" s="75"/>
      <c r="I20" s="76"/>
    </row>
    <row r="21" spans="1:9" ht="38.25" customHeight="1" x14ac:dyDescent="0.2">
      <c r="A21" s="74" t="s">
        <v>129</v>
      </c>
      <c r="B21" s="219" t="s">
        <v>628</v>
      </c>
      <c r="C21" s="220"/>
      <c r="D21" s="219" t="s">
        <v>629</v>
      </c>
      <c r="E21" s="221"/>
      <c r="F21" s="221"/>
      <c r="G21" s="220"/>
      <c r="H21" s="75"/>
      <c r="I21" s="76"/>
    </row>
    <row r="22" spans="1:9" ht="127.5" customHeight="1" x14ac:dyDescent="0.2">
      <c r="A22" s="74" t="s">
        <v>129</v>
      </c>
      <c r="B22" s="219" t="s">
        <v>630</v>
      </c>
      <c r="C22" s="220"/>
      <c r="D22" s="219" t="s">
        <v>631</v>
      </c>
      <c r="E22" s="221"/>
      <c r="F22" s="221"/>
      <c r="G22" s="220"/>
      <c r="H22" s="75"/>
      <c r="I22" s="76"/>
    </row>
    <row r="23" spans="1:9" ht="153" customHeight="1" x14ac:dyDescent="0.2">
      <c r="A23" s="206" t="s">
        <v>129</v>
      </c>
      <c r="B23" s="238" t="s">
        <v>632</v>
      </c>
      <c r="C23" s="239"/>
      <c r="D23" s="238" t="s">
        <v>633</v>
      </c>
      <c r="E23" s="189"/>
      <c r="F23" s="189"/>
      <c r="G23" s="239"/>
      <c r="H23" s="202"/>
      <c r="I23" s="200"/>
    </row>
    <row r="24" spans="1:9" ht="12.75" customHeight="1" x14ac:dyDescent="0.2">
      <c r="A24" s="206"/>
      <c r="B24" s="238"/>
      <c r="C24" s="239"/>
      <c r="D24" s="238"/>
      <c r="E24" s="189"/>
      <c r="F24" s="189"/>
      <c r="G24" s="239"/>
      <c r="H24" s="202"/>
      <c r="I24" s="200"/>
    </row>
    <row r="25" spans="1:9" ht="293.25" customHeight="1" x14ac:dyDescent="0.2">
      <c r="A25" s="71" t="s">
        <v>129</v>
      </c>
      <c r="B25" s="266" t="s">
        <v>634</v>
      </c>
      <c r="C25" s="267"/>
      <c r="D25" s="266" t="s">
        <v>635</v>
      </c>
      <c r="E25" s="268"/>
      <c r="F25" s="268"/>
      <c r="G25" s="267"/>
      <c r="H25" s="98"/>
      <c r="I25" s="99"/>
    </row>
    <row r="26" spans="1:9" ht="76.5" customHeight="1" x14ac:dyDescent="0.2">
      <c r="A26" s="74" t="s">
        <v>129</v>
      </c>
      <c r="B26" s="219" t="s">
        <v>636</v>
      </c>
      <c r="C26" s="220"/>
      <c r="D26" s="219" t="s">
        <v>637</v>
      </c>
      <c r="E26" s="221"/>
      <c r="F26" s="221"/>
      <c r="G26" s="220"/>
      <c r="H26" s="75"/>
      <c r="I26" s="76"/>
    </row>
    <row r="27" spans="1:9" ht="15.75" customHeight="1" x14ac:dyDescent="0.2">
      <c r="A27" s="74" t="s">
        <v>129</v>
      </c>
      <c r="B27" s="240" t="s">
        <v>137</v>
      </c>
      <c r="C27" s="241"/>
      <c r="D27" s="240"/>
      <c r="E27" s="242"/>
      <c r="F27" s="242"/>
      <c r="G27" s="241"/>
      <c r="H27" s="77"/>
      <c r="I27" s="78"/>
    </row>
    <row r="28" spans="1:9" ht="38.25" customHeight="1" x14ac:dyDescent="0.2">
      <c r="A28" s="74" t="s">
        <v>129</v>
      </c>
      <c r="B28" s="219" t="s">
        <v>715</v>
      </c>
      <c r="C28" s="220"/>
      <c r="D28" s="249">
        <v>0.01</v>
      </c>
      <c r="E28" s="250"/>
      <c r="F28" s="250"/>
      <c r="G28" s="251"/>
      <c r="H28" s="75"/>
      <c r="I28" s="76"/>
    </row>
    <row r="29" spans="1:9" ht="12.75" customHeight="1" x14ac:dyDescent="0.2">
      <c r="A29" s="74" t="s">
        <v>129</v>
      </c>
      <c r="B29" s="219" t="s">
        <v>716</v>
      </c>
      <c r="C29" s="220"/>
      <c r="D29" s="249">
        <v>0.11</v>
      </c>
      <c r="E29" s="250"/>
      <c r="F29" s="250"/>
      <c r="G29" s="251"/>
      <c r="H29" s="75"/>
      <c r="I29" s="76"/>
    </row>
    <row r="30" spans="1:9" ht="38.25" customHeight="1" x14ac:dyDescent="0.2">
      <c r="A30" s="74" t="s">
        <v>129</v>
      </c>
      <c r="B30" s="219" t="s">
        <v>717</v>
      </c>
      <c r="C30" s="220"/>
      <c r="D30" s="249">
        <v>0.14000000000000001</v>
      </c>
      <c r="E30" s="250"/>
      <c r="F30" s="250"/>
      <c r="G30" s="251"/>
      <c r="H30" s="75"/>
      <c r="I30" s="76"/>
    </row>
    <row r="31" spans="1:9" ht="63.75" customHeight="1" x14ac:dyDescent="0.2">
      <c r="A31" s="74" t="s">
        <v>129</v>
      </c>
      <c r="B31" s="219" t="s">
        <v>718</v>
      </c>
      <c r="C31" s="220"/>
      <c r="D31" s="249">
        <v>0.28999999999999998</v>
      </c>
      <c r="E31" s="250"/>
      <c r="F31" s="250"/>
      <c r="G31" s="251"/>
      <c r="H31" s="75"/>
      <c r="I31" s="76"/>
    </row>
    <row r="32" spans="1:9" ht="12.75" customHeight="1" x14ac:dyDescent="0.2">
      <c r="A32" s="74" t="s">
        <v>129</v>
      </c>
      <c r="B32" s="219" t="s">
        <v>719</v>
      </c>
      <c r="C32" s="220"/>
      <c r="D32" s="219" t="s">
        <v>720</v>
      </c>
      <c r="E32" s="221"/>
      <c r="F32" s="221"/>
      <c r="G32" s="220"/>
      <c r="H32" s="75"/>
      <c r="I32" s="76"/>
    </row>
    <row r="33" spans="1:9" ht="12.75" customHeight="1" x14ac:dyDescent="0.2">
      <c r="A33" s="74" t="s">
        <v>129</v>
      </c>
      <c r="B33" s="219" t="s">
        <v>721</v>
      </c>
      <c r="C33" s="220"/>
      <c r="D33" s="219" t="s">
        <v>722</v>
      </c>
      <c r="E33" s="221"/>
      <c r="F33" s="221"/>
      <c r="G33" s="220"/>
      <c r="H33" s="75"/>
      <c r="I33" s="76"/>
    </row>
    <row r="34" spans="1:9" ht="25.5" customHeight="1" x14ac:dyDescent="0.2">
      <c r="A34" s="74" t="s">
        <v>129</v>
      </c>
      <c r="B34" s="219" t="s">
        <v>723</v>
      </c>
      <c r="C34" s="220"/>
      <c r="D34" s="219" t="s">
        <v>724</v>
      </c>
      <c r="E34" s="221"/>
      <c r="F34" s="221"/>
      <c r="G34" s="220"/>
      <c r="H34" s="75"/>
      <c r="I34" s="76"/>
    </row>
    <row r="35" spans="1:9" ht="12.75" customHeight="1" x14ac:dyDescent="0.2">
      <c r="A35" s="74" t="s">
        <v>129</v>
      </c>
      <c r="B35" s="219" t="s">
        <v>725</v>
      </c>
      <c r="C35" s="220"/>
      <c r="D35" s="219" t="s">
        <v>722</v>
      </c>
      <c r="E35" s="221"/>
      <c r="F35" s="221"/>
      <c r="G35" s="220"/>
      <c r="H35" s="75"/>
      <c r="I35" s="76"/>
    </row>
    <row r="36" spans="1:9" ht="25.5" customHeight="1" x14ac:dyDescent="0.2">
      <c r="A36" s="74" t="s">
        <v>129</v>
      </c>
      <c r="B36" s="219" t="s">
        <v>726</v>
      </c>
      <c r="C36" s="220"/>
      <c r="D36" s="219" t="s">
        <v>727</v>
      </c>
      <c r="E36" s="221"/>
      <c r="F36" s="221"/>
      <c r="G36" s="220"/>
      <c r="H36" s="75"/>
      <c r="I36" s="76"/>
    </row>
    <row r="37" spans="1:9" ht="38.25" customHeight="1" x14ac:dyDescent="0.2">
      <c r="A37" s="74" t="s">
        <v>129</v>
      </c>
      <c r="B37" s="219" t="s">
        <v>728</v>
      </c>
      <c r="C37" s="220"/>
      <c r="D37" s="249">
        <v>0.04</v>
      </c>
      <c r="E37" s="250"/>
      <c r="F37" s="250"/>
      <c r="G37" s="251"/>
      <c r="H37" s="75"/>
      <c r="I37" s="76"/>
    </row>
    <row r="38" spans="1:9" ht="38.25" customHeight="1" x14ac:dyDescent="0.2">
      <c r="A38" s="74" t="s">
        <v>129</v>
      </c>
      <c r="B38" s="219" t="s">
        <v>729</v>
      </c>
      <c r="C38" s="220"/>
      <c r="D38" s="249">
        <v>0.03</v>
      </c>
      <c r="E38" s="250"/>
      <c r="F38" s="250"/>
      <c r="G38" s="251"/>
      <c r="H38" s="75"/>
      <c r="I38" s="76"/>
    </row>
    <row r="39" spans="1:9" ht="12.75" customHeight="1" x14ac:dyDescent="0.2">
      <c r="A39" s="96" t="s">
        <v>129</v>
      </c>
      <c r="B39" s="231" t="s">
        <v>730</v>
      </c>
      <c r="C39" s="232"/>
      <c r="D39" s="233">
        <v>0.09</v>
      </c>
      <c r="E39" s="234"/>
      <c r="F39" s="234"/>
      <c r="G39" s="235"/>
      <c r="H39" s="97"/>
      <c r="I39" s="80"/>
    </row>
    <row r="40" spans="1:9" ht="25.5" customHeight="1" x14ac:dyDescent="0.2">
      <c r="A40" s="96" t="s">
        <v>121</v>
      </c>
      <c r="B40" s="243" t="s">
        <v>659</v>
      </c>
      <c r="C40" s="244"/>
      <c r="D40" s="243"/>
      <c r="E40" s="245"/>
      <c r="F40" s="245"/>
      <c r="G40" s="244"/>
      <c r="H40" s="83"/>
      <c r="I40" s="84">
        <f>ROUND(($I$18),2)</f>
        <v>2749202.54</v>
      </c>
    </row>
    <row r="41" spans="1:9" ht="25.5" customHeight="1" x14ac:dyDescent="0.2">
      <c r="A41" s="65" t="s">
        <v>123</v>
      </c>
      <c r="B41" s="228" t="s">
        <v>660</v>
      </c>
      <c r="C41" s="229"/>
      <c r="D41" s="228"/>
      <c r="E41" s="230"/>
      <c r="F41" s="230"/>
      <c r="G41" s="229"/>
      <c r="H41" s="66"/>
      <c r="I41" s="70">
        <f>ROUND(($I$40),2)</f>
        <v>2749202.54</v>
      </c>
    </row>
    <row r="42" spans="1:9" ht="12.75" customHeight="1" x14ac:dyDescent="0.2">
      <c r="A42" s="65" t="s">
        <v>7</v>
      </c>
      <c r="B42" s="228" t="s">
        <v>213</v>
      </c>
      <c r="C42" s="229"/>
      <c r="D42" s="228"/>
      <c r="E42" s="230"/>
      <c r="F42" s="230"/>
      <c r="G42" s="229"/>
      <c r="H42" s="66"/>
      <c r="I42" s="70">
        <f>ROUND(($I$41),2)</f>
        <v>2749202.54</v>
      </c>
    </row>
    <row r="43" spans="1:9" ht="12.75" customHeight="1" x14ac:dyDescent="0.2">
      <c r="A43" s="65" t="s">
        <v>23</v>
      </c>
      <c r="B43" s="228" t="s">
        <v>214</v>
      </c>
      <c r="C43" s="229"/>
      <c r="D43" s="228"/>
      <c r="E43" s="230"/>
      <c r="F43" s="230"/>
      <c r="G43" s="229"/>
      <c r="H43" s="66"/>
      <c r="I43" s="70">
        <f>ROUND(($I$42),2)</f>
        <v>2749202.54</v>
      </c>
    </row>
    <row r="44" spans="1:9" ht="12.75" customHeight="1" x14ac:dyDescent="0.2"/>
    <row r="45" spans="1:9" s="93" customFormat="1" ht="24.95" customHeight="1" x14ac:dyDescent="0.25">
      <c r="A45" s="189" t="s">
        <v>215</v>
      </c>
      <c r="B45" s="189"/>
      <c r="C45" s="189"/>
      <c r="D45" s="189"/>
      <c r="E45" s="189"/>
      <c r="F45" s="189"/>
      <c r="G45" s="189"/>
      <c r="H45" s="189"/>
      <c r="I45" s="189"/>
    </row>
    <row r="46" spans="1:9" ht="12.75" customHeight="1" x14ac:dyDescent="0.2">
      <c r="D46" s="95"/>
      <c r="H46" s="107" t="s">
        <v>988</v>
      </c>
      <c r="I46" s="159">
        <f>ROUND(I43/1.04*0.04,2)</f>
        <v>105738.56</v>
      </c>
    </row>
    <row r="47" spans="1:9" x14ac:dyDescent="0.2">
      <c r="H47" s="107" t="s">
        <v>1135</v>
      </c>
      <c r="I47" s="159">
        <f>I43-I46</f>
        <v>2643463.98</v>
      </c>
    </row>
    <row r="48" spans="1:9" x14ac:dyDescent="0.2">
      <c r="I48" s="159"/>
    </row>
    <row r="49" spans="9:9" x14ac:dyDescent="0.2">
      <c r="I49" s="159"/>
    </row>
    <row r="50" spans="9:9" x14ac:dyDescent="0.2">
      <c r="I50" s="159"/>
    </row>
    <row r="51" spans="9:9" x14ac:dyDescent="0.2">
      <c r="I51" s="159"/>
    </row>
    <row r="52" spans="9:9" x14ac:dyDescent="0.2">
      <c r="I52" s="159"/>
    </row>
    <row r="53" spans="9:9" x14ac:dyDescent="0.2">
      <c r="I53" s="159"/>
    </row>
    <row r="54" spans="9:9" x14ac:dyDescent="0.2">
      <c r="I54" s="159"/>
    </row>
    <row r="55" spans="9:9" x14ac:dyDescent="0.2">
      <c r="I55" s="159"/>
    </row>
    <row r="56" spans="9:9" x14ac:dyDescent="0.2">
      <c r="I56" s="159"/>
    </row>
  </sheetData>
  <mergeCells count="74">
    <mergeCell ref="B42:C42"/>
    <mergeCell ref="D42:G42"/>
    <mergeCell ref="B43:C43"/>
    <mergeCell ref="D43:G43"/>
    <mergeCell ref="A45:C45"/>
    <mergeCell ref="D45:I45"/>
    <mergeCell ref="B39:C39"/>
    <mergeCell ref="D39:G39"/>
    <mergeCell ref="B40:C40"/>
    <mergeCell ref="D40:G40"/>
    <mergeCell ref="B41:C41"/>
    <mergeCell ref="D41:G41"/>
    <mergeCell ref="B36:C36"/>
    <mergeCell ref="D36:G36"/>
    <mergeCell ref="B37:C37"/>
    <mergeCell ref="D37:G37"/>
    <mergeCell ref="B38:C38"/>
    <mergeCell ref="D38:G38"/>
    <mergeCell ref="B33:C33"/>
    <mergeCell ref="D33:G33"/>
    <mergeCell ref="B34:C34"/>
    <mergeCell ref="D34:G34"/>
    <mergeCell ref="B35:C35"/>
    <mergeCell ref="D35:G35"/>
    <mergeCell ref="B30:C30"/>
    <mergeCell ref="D30:G30"/>
    <mergeCell ref="B31:C31"/>
    <mergeCell ref="D31:G31"/>
    <mergeCell ref="B32:C32"/>
    <mergeCell ref="D32:G32"/>
    <mergeCell ref="B27:C27"/>
    <mergeCell ref="D27:G27"/>
    <mergeCell ref="B28:C28"/>
    <mergeCell ref="D28:G28"/>
    <mergeCell ref="B29:C29"/>
    <mergeCell ref="D29:G29"/>
    <mergeCell ref="H23:H24"/>
    <mergeCell ref="I23:I24"/>
    <mergeCell ref="B25:C25"/>
    <mergeCell ref="D25:G25"/>
    <mergeCell ref="B26:C26"/>
    <mergeCell ref="D26:G26"/>
    <mergeCell ref="B21:C21"/>
    <mergeCell ref="D21:G21"/>
    <mergeCell ref="B22:C22"/>
    <mergeCell ref="D22:G22"/>
    <mergeCell ref="A23:A24"/>
    <mergeCell ref="B23:C24"/>
    <mergeCell ref="D23:G24"/>
    <mergeCell ref="B18:C18"/>
    <mergeCell ref="D18:G18"/>
    <mergeCell ref="B19:C19"/>
    <mergeCell ref="D19:G19"/>
    <mergeCell ref="B20:C20"/>
    <mergeCell ref="D20:G20"/>
    <mergeCell ref="B17:C17"/>
    <mergeCell ref="D17:G17"/>
    <mergeCell ref="A8:C8"/>
    <mergeCell ref="D8:I8"/>
    <mergeCell ref="A10:C10"/>
    <mergeCell ref="D10:I10"/>
    <mergeCell ref="A12:C12"/>
    <mergeCell ref="D12:I12"/>
    <mergeCell ref="A14:I14"/>
    <mergeCell ref="B15:C15"/>
    <mergeCell ref="D15:G15"/>
    <mergeCell ref="B16:C16"/>
    <mergeCell ref="D16:G16"/>
    <mergeCell ref="A1:C1"/>
    <mergeCell ref="D1:I1"/>
    <mergeCell ref="A3:I3"/>
    <mergeCell ref="A4:I4"/>
    <mergeCell ref="A6:C6"/>
    <mergeCell ref="D6:I6"/>
  </mergeCells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B6A11-91D2-439F-88FF-729C9A1805A6}">
  <dimension ref="A1:G39"/>
  <sheetViews>
    <sheetView topLeftCell="A23" workbookViewId="0">
      <selection activeCell="C37" sqref="C37:G37"/>
    </sheetView>
  </sheetViews>
  <sheetFormatPr defaultColWidth="11.5703125" defaultRowHeight="12.75" x14ac:dyDescent="0.2"/>
  <cols>
    <col min="1" max="1" width="4.7109375" style="107" customWidth="1"/>
    <col min="2" max="2" width="20.42578125" style="107" customWidth="1"/>
    <col min="3" max="3" width="13.140625" style="107" customWidth="1"/>
    <col min="4" max="4" width="12.85546875" style="107" customWidth="1"/>
    <col min="5" max="5" width="14.28515625" style="107" customWidth="1"/>
    <col min="6" max="6" width="15.28515625" style="58" customWidth="1"/>
    <col min="7" max="7" width="16.28515625" style="58" customWidth="1"/>
    <col min="8" max="16384" width="11.5703125" style="58"/>
  </cols>
  <sheetData>
    <row r="1" spans="1:7" ht="25.5" customHeight="1" x14ac:dyDescent="0.2">
      <c r="A1" s="208" t="s">
        <v>99</v>
      </c>
      <c r="B1" s="189"/>
      <c r="C1" s="257" t="s">
        <v>945</v>
      </c>
      <c r="D1" s="257"/>
      <c r="E1" s="257"/>
      <c r="F1" s="257"/>
      <c r="G1" s="257"/>
    </row>
    <row r="2" spans="1:7" x14ac:dyDescent="0.2">
      <c r="A2" s="100"/>
      <c r="B2" s="101"/>
      <c r="C2" s="102"/>
      <c r="D2" s="102"/>
      <c r="E2" s="102"/>
      <c r="F2" s="102"/>
      <c r="G2" s="102"/>
    </row>
    <row r="3" spans="1:7" x14ac:dyDescent="0.2">
      <c r="A3" s="100"/>
      <c r="B3" s="101"/>
      <c r="C3" s="102"/>
      <c r="D3" s="102"/>
      <c r="E3" s="102"/>
      <c r="F3" s="102"/>
      <c r="G3" s="102"/>
    </row>
    <row r="4" spans="1:7" x14ac:dyDescent="0.2">
      <c r="B4" s="258" t="s">
        <v>762</v>
      </c>
      <c r="C4" s="258"/>
      <c r="D4" s="258"/>
      <c r="E4" s="258"/>
      <c r="F4" s="258"/>
    </row>
    <row r="5" spans="1:7" x14ac:dyDescent="0.2">
      <c r="B5" s="259" t="s">
        <v>101</v>
      </c>
      <c r="C5" s="259" t="s">
        <v>732</v>
      </c>
      <c r="D5" s="259" t="s">
        <v>732</v>
      </c>
      <c r="E5" s="259"/>
      <c r="F5" s="259"/>
    </row>
    <row r="6" spans="1:7" x14ac:dyDescent="0.2">
      <c r="B6" s="103"/>
      <c r="C6" s="103"/>
      <c r="D6" s="103"/>
      <c r="E6" s="103"/>
      <c r="F6" s="103"/>
    </row>
    <row r="7" spans="1:7" ht="38.25" customHeight="1" x14ac:dyDescent="0.2">
      <c r="A7" s="189" t="s">
        <v>102</v>
      </c>
      <c r="B7" s="189"/>
      <c r="C7" s="189" t="s">
        <v>87</v>
      </c>
      <c r="D7" s="189"/>
      <c r="E7" s="189"/>
      <c r="F7" s="189"/>
      <c r="G7" s="189"/>
    </row>
    <row r="8" spans="1:7" x14ac:dyDescent="0.2">
      <c r="C8" s="62"/>
      <c r="D8" s="62"/>
    </row>
    <row r="9" spans="1:7" ht="40.5" customHeight="1" x14ac:dyDescent="0.2">
      <c r="A9" s="189" t="s">
        <v>103</v>
      </c>
      <c r="B9" s="189"/>
      <c r="C9" s="189"/>
      <c r="D9" s="189"/>
      <c r="E9" s="196" t="s">
        <v>733</v>
      </c>
      <c r="F9" s="196"/>
      <c r="G9" s="196"/>
    </row>
    <row r="10" spans="1:7" hidden="1" x14ac:dyDescent="0.2">
      <c r="A10" s="63"/>
      <c r="B10" s="63"/>
      <c r="C10" s="103"/>
      <c r="D10" s="103"/>
      <c r="E10" s="103"/>
      <c r="F10" s="103"/>
      <c r="G10" s="103"/>
    </row>
    <row r="12" spans="1:7" ht="27.95" customHeight="1" x14ac:dyDescent="0.2">
      <c r="A12" s="189" t="s">
        <v>105</v>
      </c>
      <c r="B12" s="189"/>
      <c r="C12" s="189"/>
      <c r="D12" s="189"/>
      <c r="E12" s="196"/>
      <c r="F12" s="196"/>
      <c r="G12" s="196"/>
    </row>
    <row r="13" spans="1:7" hidden="1" x14ac:dyDescent="0.2"/>
    <row r="14" spans="1:7" ht="27.95" customHeight="1" x14ac:dyDescent="0.2">
      <c r="A14" s="189" t="s">
        <v>106</v>
      </c>
      <c r="B14" s="189"/>
      <c r="C14" s="189"/>
      <c r="D14" s="189"/>
      <c r="E14" s="196"/>
      <c r="F14" s="196"/>
      <c r="G14" s="196"/>
    </row>
    <row r="15" spans="1:7" hidden="1" x14ac:dyDescent="0.2">
      <c r="A15" s="94"/>
      <c r="B15" s="94"/>
      <c r="C15" s="63"/>
      <c r="D15" s="94"/>
      <c r="E15" s="94"/>
    </row>
    <row r="16" spans="1:7" ht="12.75" customHeight="1" x14ac:dyDescent="0.2">
      <c r="A16" s="94"/>
      <c r="B16" s="94"/>
      <c r="C16" s="63"/>
      <c r="D16" s="94"/>
      <c r="E16" s="94"/>
    </row>
    <row r="17" spans="1:7" ht="12.75" customHeight="1" x14ac:dyDescent="0.2">
      <c r="A17" s="198" t="s">
        <v>218</v>
      </c>
      <c r="B17" s="198"/>
      <c r="C17" s="198"/>
      <c r="D17" s="198"/>
      <c r="E17" s="198"/>
      <c r="F17" s="198"/>
      <c r="G17" s="198"/>
    </row>
    <row r="18" spans="1:7" ht="31.35" customHeight="1" x14ac:dyDescent="0.2">
      <c r="A18" s="260" t="s">
        <v>734</v>
      </c>
      <c r="B18" s="260" t="s">
        <v>735</v>
      </c>
      <c r="C18" s="260" t="s">
        <v>736</v>
      </c>
      <c r="D18" s="260"/>
      <c r="E18" s="260" t="s">
        <v>737</v>
      </c>
      <c r="F18" s="260" t="s">
        <v>738</v>
      </c>
      <c r="G18" s="260" t="s">
        <v>739</v>
      </c>
    </row>
    <row r="19" spans="1:7" ht="31.7" customHeight="1" x14ac:dyDescent="0.2">
      <c r="A19" s="260"/>
      <c r="B19" s="260"/>
      <c r="C19" s="127" t="s">
        <v>740</v>
      </c>
      <c r="D19" s="127" t="s">
        <v>741</v>
      </c>
      <c r="E19" s="260"/>
      <c r="F19" s="260"/>
      <c r="G19" s="260"/>
    </row>
    <row r="20" spans="1:7" x14ac:dyDescent="0.2">
      <c r="A20" s="129">
        <v>1</v>
      </c>
      <c r="B20" s="129">
        <v>2</v>
      </c>
      <c r="C20" s="129">
        <v>3</v>
      </c>
      <c r="D20" s="129">
        <v>4</v>
      </c>
      <c r="E20" s="129">
        <v>5</v>
      </c>
      <c r="F20" s="139">
        <v>6</v>
      </c>
      <c r="G20" s="139">
        <v>7</v>
      </c>
    </row>
    <row r="21" spans="1:7" ht="63.75" customHeight="1" x14ac:dyDescent="0.2">
      <c r="A21" s="262">
        <v>1</v>
      </c>
      <c r="B21" s="263" t="s">
        <v>742</v>
      </c>
      <c r="C21" s="140">
        <v>1</v>
      </c>
      <c r="D21" s="140" t="s">
        <v>743</v>
      </c>
      <c r="E21" s="140">
        <v>7</v>
      </c>
      <c r="F21" s="141" t="s">
        <v>744</v>
      </c>
      <c r="G21" s="264">
        <f>ROUND((1*7*8*414.15+1*7*8*258.84+1*7*8*232.96),2)</f>
        <v>50733.2</v>
      </c>
    </row>
    <row r="22" spans="1:7" ht="25.5" x14ac:dyDescent="0.2">
      <c r="A22" s="262"/>
      <c r="B22" s="263"/>
      <c r="C22" s="140">
        <v>1</v>
      </c>
      <c r="D22" s="140" t="s">
        <v>745</v>
      </c>
      <c r="E22" s="140">
        <v>7</v>
      </c>
      <c r="F22" s="141" t="s">
        <v>746</v>
      </c>
      <c r="G22" s="264"/>
    </row>
    <row r="23" spans="1:7" x14ac:dyDescent="0.2">
      <c r="A23" s="262"/>
      <c r="B23" s="263"/>
      <c r="C23" s="140">
        <v>1</v>
      </c>
      <c r="D23" s="140" t="s">
        <v>747</v>
      </c>
      <c r="E23" s="140">
        <v>7</v>
      </c>
      <c r="F23" s="141" t="s">
        <v>748</v>
      </c>
      <c r="G23" s="264"/>
    </row>
    <row r="24" spans="1:7" x14ac:dyDescent="0.2">
      <c r="A24" s="104">
        <v>2</v>
      </c>
      <c r="B24" s="68" t="s">
        <v>213</v>
      </c>
      <c r="C24" s="68"/>
      <c r="D24" s="68"/>
      <c r="E24" s="68"/>
      <c r="F24" s="105"/>
      <c r="G24" s="106">
        <f>ROUND(($G$21),2)</f>
        <v>50733.2</v>
      </c>
    </row>
    <row r="27" spans="1:7" x14ac:dyDescent="0.2">
      <c r="A27" s="265" t="s">
        <v>749</v>
      </c>
      <c r="B27" s="265"/>
      <c r="C27" s="265"/>
      <c r="D27" s="265"/>
      <c r="E27" s="265"/>
      <c r="F27" s="265"/>
      <c r="G27" s="265"/>
    </row>
    <row r="29" spans="1:7" ht="25.5" customHeight="1" x14ac:dyDescent="0.2">
      <c r="A29" s="104">
        <v>3</v>
      </c>
      <c r="B29" s="246" t="s">
        <v>750</v>
      </c>
      <c r="C29" s="248"/>
      <c r="D29" s="248"/>
      <c r="E29" s="248"/>
      <c r="F29" s="247"/>
      <c r="G29" s="106">
        <f>ROUND(($G$24),2)</f>
        <v>50733.2</v>
      </c>
    </row>
    <row r="30" spans="1:7" ht="25.5" customHeight="1" x14ac:dyDescent="0.2">
      <c r="A30" s="104">
        <v>4</v>
      </c>
      <c r="B30" s="246" t="s">
        <v>751</v>
      </c>
      <c r="C30" s="248"/>
      <c r="D30" s="248"/>
      <c r="E30" s="248"/>
      <c r="F30" s="247"/>
      <c r="G30" s="106">
        <f>ROUND(($G$29) * 30.8 / 100 * 1,2)</f>
        <v>15625.83</v>
      </c>
    </row>
    <row r="31" spans="1:7" ht="25.5" customHeight="1" x14ac:dyDescent="0.2">
      <c r="A31" s="104">
        <v>5</v>
      </c>
      <c r="B31" s="246" t="s">
        <v>752</v>
      </c>
      <c r="C31" s="248"/>
      <c r="D31" s="248"/>
      <c r="E31" s="248"/>
      <c r="F31" s="247"/>
      <c r="G31" s="106">
        <f>ROUND(($G$29 + $G$30),2)</f>
        <v>66359.03</v>
      </c>
    </row>
    <row r="32" spans="1:7" ht="63.75" customHeight="1" x14ac:dyDescent="0.2">
      <c r="A32" s="104">
        <v>6</v>
      </c>
      <c r="B32" s="246" t="s">
        <v>753</v>
      </c>
      <c r="C32" s="248"/>
      <c r="D32" s="248"/>
      <c r="E32" s="248"/>
      <c r="F32" s="247"/>
      <c r="G32" s="106">
        <f>ROUND(($G$29 + $G$30) * 1/0.4 * 1,2)</f>
        <v>165897.57999999999</v>
      </c>
    </row>
    <row r="33" spans="1:7" ht="25.5" customHeight="1" x14ac:dyDescent="0.2">
      <c r="A33" s="104">
        <v>7</v>
      </c>
      <c r="B33" s="246" t="s">
        <v>754</v>
      </c>
      <c r="C33" s="248"/>
      <c r="D33" s="248"/>
      <c r="E33" s="248"/>
      <c r="F33" s="247"/>
      <c r="G33" s="106">
        <f>ROUND(($G$32) * 8 / 100 * 1,2)</f>
        <v>13271.81</v>
      </c>
    </row>
    <row r="34" spans="1:7" ht="25.5" customHeight="1" x14ac:dyDescent="0.2">
      <c r="A34" s="104">
        <v>8</v>
      </c>
      <c r="B34" s="246" t="s">
        <v>755</v>
      </c>
      <c r="C34" s="248"/>
      <c r="D34" s="248"/>
      <c r="E34" s="248"/>
      <c r="F34" s="247"/>
      <c r="G34" s="106">
        <f>ROUND(($G$32 + $G$33),2)</f>
        <v>179169.39</v>
      </c>
    </row>
    <row r="35" spans="1:7" ht="12.75" customHeight="1" x14ac:dyDescent="0.2">
      <c r="A35" s="104">
        <v>9</v>
      </c>
      <c r="B35" s="246" t="s">
        <v>214</v>
      </c>
      <c r="C35" s="248"/>
      <c r="D35" s="248"/>
      <c r="E35" s="248"/>
      <c r="F35" s="247"/>
      <c r="G35" s="106">
        <v>179169.39</v>
      </c>
    </row>
    <row r="37" spans="1:7" s="93" customFormat="1" ht="12.75" customHeight="1" x14ac:dyDescent="0.2">
      <c r="A37" s="189" t="s">
        <v>215</v>
      </c>
      <c r="B37" s="189"/>
      <c r="C37" s="261"/>
      <c r="D37" s="261"/>
      <c r="E37" s="261"/>
      <c r="F37" s="261"/>
      <c r="G37" s="261"/>
    </row>
    <row r="38" spans="1:7" ht="24.95" customHeight="1" x14ac:dyDescent="0.2">
      <c r="A38" s="94"/>
      <c r="B38" s="94"/>
      <c r="C38" s="94"/>
      <c r="D38" s="94"/>
      <c r="E38" s="94"/>
      <c r="F38" s="63"/>
      <c r="G38" s="63"/>
    </row>
    <row r="39" spans="1:7" x14ac:dyDescent="0.2">
      <c r="A39" s="94"/>
      <c r="B39" s="94"/>
      <c r="C39" s="94"/>
      <c r="D39" s="94"/>
      <c r="E39" s="94"/>
      <c r="F39" s="63"/>
      <c r="G39" s="63"/>
    </row>
  </sheetData>
  <mergeCells count="32">
    <mergeCell ref="A37:B37"/>
    <mergeCell ref="C37:G37"/>
    <mergeCell ref="A21:A23"/>
    <mergeCell ref="B21:B23"/>
    <mergeCell ref="G21:G23"/>
    <mergeCell ref="A27:G27"/>
    <mergeCell ref="B29:F29"/>
    <mergeCell ref="B30:F30"/>
    <mergeCell ref="B31:F31"/>
    <mergeCell ref="B32:F32"/>
    <mergeCell ref="B33:F33"/>
    <mergeCell ref="B34:F34"/>
    <mergeCell ref="B35:F35"/>
    <mergeCell ref="A17:G17"/>
    <mergeCell ref="A18:A19"/>
    <mergeCell ref="B18:B19"/>
    <mergeCell ref="C18:D18"/>
    <mergeCell ref="E18:E19"/>
    <mergeCell ref="F18:F19"/>
    <mergeCell ref="G18:G19"/>
    <mergeCell ref="A9:D9"/>
    <mergeCell ref="E9:G9"/>
    <mergeCell ref="A12:D12"/>
    <mergeCell ref="E12:G12"/>
    <mergeCell ref="A14:D14"/>
    <mergeCell ref="E14:G14"/>
    <mergeCell ref="A1:B1"/>
    <mergeCell ref="C1:G1"/>
    <mergeCell ref="B4:F4"/>
    <mergeCell ref="B5:F5"/>
    <mergeCell ref="A7:B7"/>
    <mergeCell ref="C7:G7"/>
  </mergeCells>
  <pageMargins left="0.39374999999999999" right="0.39374999999999999" top="0.59027777777777779" bottom="0.82777777777777783" header="0.51180555555555562" footer="0.59027777777777779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74AA6-1288-49C6-84E9-966FC35E6DB3}">
  <dimension ref="A1:G39"/>
  <sheetViews>
    <sheetView topLeftCell="A23" workbookViewId="0">
      <selection activeCell="C37" sqref="C37:G37"/>
    </sheetView>
  </sheetViews>
  <sheetFormatPr defaultColWidth="11.5703125" defaultRowHeight="12.75" x14ac:dyDescent="0.2"/>
  <cols>
    <col min="1" max="1" width="4.7109375" style="107" customWidth="1"/>
    <col min="2" max="2" width="20.42578125" style="107" customWidth="1"/>
    <col min="3" max="3" width="13.140625" style="107" customWidth="1"/>
    <col min="4" max="4" width="12.85546875" style="107" customWidth="1"/>
    <col min="5" max="5" width="14.28515625" style="107" customWidth="1"/>
    <col min="6" max="6" width="15.28515625" style="58" customWidth="1"/>
    <col min="7" max="7" width="16.28515625" style="58" customWidth="1"/>
    <col min="8" max="16384" width="11.5703125" style="58"/>
  </cols>
  <sheetData>
    <row r="1" spans="1:7" ht="25.5" customHeight="1" x14ac:dyDescent="0.2">
      <c r="A1" s="208" t="s">
        <v>99</v>
      </c>
      <c r="B1" s="189"/>
      <c r="C1" s="257" t="s">
        <v>945</v>
      </c>
      <c r="D1" s="257"/>
      <c r="E1" s="257"/>
      <c r="F1" s="257"/>
      <c r="G1" s="257"/>
    </row>
    <row r="2" spans="1:7" x14ac:dyDescent="0.2">
      <c r="A2" s="100"/>
      <c r="B2" s="101"/>
      <c r="C2" s="102"/>
      <c r="D2" s="102"/>
      <c r="E2" s="102"/>
      <c r="F2" s="102"/>
      <c r="G2" s="102"/>
    </row>
    <row r="3" spans="1:7" x14ac:dyDescent="0.2">
      <c r="A3" s="100"/>
      <c r="B3" s="101"/>
      <c r="C3" s="102"/>
      <c r="D3" s="102"/>
      <c r="E3" s="102"/>
      <c r="F3" s="102"/>
      <c r="G3" s="102"/>
    </row>
    <row r="4" spans="1:7" x14ac:dyDescent="0.2">
      <c r="B4" s="258" t="s">
        <v>777</v>
      </c>
      <c r="C4" s="258"/>
      <c r="D4" s="258"/>
      <c r="E4" s="258"/>
      <c r="F4" s="258"/>
    </row>
    <row r="5" spans="1:7" x14ac:dyDescent="0.2">
      <c r="B5" s="259" t="s">
        <v>101</v>
      </c>
      <c r="C5" s="259" t="s">
        <v>732</v>
      </c>
      <c r="D5" s="259" t="s">
        <v>732</v>
      </c>
      <c r="E5" s="259"/>
      <c r="F5" s="259"/>
    </row>
    <row r="6" spans="1:7" x14ac:dyDescent="0.2">
      <c r="B6" s="103"/>
      <c r="C6" s="103"/>
      <c r="D6" s="103"/>
      <c r="E6" s="103"/>
      <c r="F6" s="103"/>
    </row>
    <row r="7" spans="1:7" ht="38.25" customHeight="1" x14ac:dyDescent="0.2">
      <c r="A7" s="189" t="s">
        <v>102</v>
      </c>
      <c r="B7" s="189"/>
      <c r="C7" s="189" t="s">
        <v>87</v>
      </c>
      <c r="D7" s="189"/>
      <c r="E7" s="189"/>
      <c r="F7" s="189"/>
      <c r="G7" s="189"/>
    </row>
    <row r="8" spans="1:7" x14ac:dyDescent="0.2">
      <c r="C8" s="62"/>
      <c r="D8" s="62"/>
    </row>
    <row r="9" spans="1:7" ht="40.5" customHeight="1" x14ac:dyDescent="0.2">
      <c r="A9" s="189" t="s">
        <v>103</v>
      </c>
      <c r="B9" s="189"/>
      <c r="C9" s="189"/>
      <c r="D9" s="189"/>
      <c r="E9" s="196" t="s">
        <v>77</v>
      </c>
      <c r="F9" s="196"/>
      <c r="G9" s="196"/>
    </row>
    <row r="10" spans="1:7" hidden="1" x14ac:dyDescent="0.2">
      <c r="A10" s="63"/>
      <c r="B10" s="63"/>
      <c r="C10" s="103"/>
      <c r="D10" s="103"/>
      <c r="E10" s="103"/>
      <c r="F10" s="103"/>
      <c r="G10" s="103"/>
    </row>
    <row r="12" spans="1:7" ht="27.95" customHeight="1" x14ac:dyDescent="0.2">
      <c r="A12" s="189" t="s">
        <v>105</v>
      </c>
      <c r="B12" s="189"/>
      <c r="C12" s="189"/>
      <c r="D12" s="189"/>
      <c r="E12" s="196"/>
      <c r="F12" s="196"/>
      <c r="G12" s="196"/>
    </row>
    <row r="13" spans="1:7" hidden="1" x14ac:dyDescent="0.2"/>
    <row r="14" spans="1:7" ht="27.95" customHeight="1" x14ac:dyDescent="0.2">
      <c r="A14" s="189" t="s">
        <v>106</v>
      </c>
      <c r="B14" s="189"/>
      <c r="C14" s="189"/>
      <c r="D14" s="189"/>
      <c r="E14" s="196"/>
      <c r="F14" s="196"/>
      <c r="G14" s="196"/>
    </row>
    <row r="15" spans="1:7" hidden="1" x14ac:dyDescent="0.2">
      <c r="A15" s="94"/>
      <c r="B15" s="94"/>
      <c r="C15" s="63"/>
      <c r="D15" s="94"/>
      <c r="E15" s="94"/>
    </row>
    <row r="16" spans="1:7" ht="12.75" customHeight="1" x14ac:dyDescent="0.2">
      <c r="A16" s="94"/>
      <c r="B16" s="94"/>
      <c r="C16" s="63"/>
      <c r="D16" s="94"/>
      <c r="E16" s="94"/>
    </row>
    <row r="17" spans="1:7" ht="12.75" customHeight="1" x14ac:dyDescent="0.2">
      <c r="A17" s="198" t="s">
        <v>218</v>
      </c>
      <c r="B17" s="198"/>
      <c r="C17" s="198"/>
      <c r="D17" s="198"/>
      <c r="E17" s="198"/>
      <c r="F17" s="198"/>
      <c r="G17" s="198"/>
    </row>
    <row r="18" spans="1:7" ht="31.35" customHeight="1" x14ac:dyDescent="0.2">
      <c r="A18" s="260" t="s">
        <v>734</v>
      </c>
      <c r="B18" s="260" t="s">
        <v>735</v>
      </c>
      <c r="C18" s="260" t="s">
        <v>736</v>
      </c>
      <c r="D18" s="260"/>
      <c r="E18" s="260" t="s">
        <v>737</v>
      </c>
      <c r="F18" s="260" t="s">
        <v>738</v>
      </c>
      <c r="G18" s="260" t="s">
        <v>739</v>
      </c>
    </row>
    <row r="19" spans="1:7" ht="31.7" customHeight="1" x14ac:dyDescent="0.2">
      <c r="A19" s="260"/>
      <c r="B19" s="260"/>
      <c r="C19" s="127" t="s">
        <v>740</v>
      </c>
      <c r="D19" s="127" t="s">
        <v>741</v>
      </c>
      <c r="E19" s="260"/>
      <c r="F19" s="260"/>
      <c r="G19" s="260"/>
    </row>
    <row r="20" spans="1:7" x14ac:dyDescent="0.2">
      <c r="A20" s="129">
        <v>1</v>
      </c>
      <c r="B20" s="129">
        <v>2</v>
      </c>
      <c r="C20" s="129">
        <v>3</v>
      </c>
      <c r="D20" s="129">
        <v>4</v>
      </c>
      <c r="E20" s="129">
        <v>5</v>
      </c>
      <c r="F20" s="139">
        <v>6</v>
      </c>
      <c r="G20" s="139">
        <v>7</v>
      </c>
    </row>
    <row r="21" spans="1:7" ht="63.75" customHeight="1" x14ac:dyDescent="0.2">
      <c r="A21" s="262">
        <v>1</v>
      </c>
      <c r="B21" s="263" t="s">
        <v>77</v>
      </c>
      <c r="C21" s="140">
        <v>1</v>
      </c>
      <c r="D21" s="140" t="s">
        <v>757</v>
      </c>
      <c r="E21" s="140">
        <v>10</v>
      </c>
      <c r="F21" s="141" t="s">
        <v>744</v>
      </c>
      <c r="G21" s="264">
        <f>ROUND((1*10*8*414.15+1*10*8*258.84+1*10*8*232.96),2)</f>
        <v>72476</v>
      </c>
    </row>
    <row r="22" spans="1:7" ht="25.5" x14ac:dyDescent="0.2">
      <c r="A22" s="262"/>
      <c r="B22" s="263"/>
      <c r="C22" s="140">
        <v>1</v>
      </c>
      <c r="D22" s="140" t="s">
        <v>745</v>
      </c>
      <c r="E22" s="140">
        <v>10</v>
      </c>
      <c r="F22" s="141" t="s">
        <v>746</v>
      </c>
      <c r="G22" s="264"/>
    </row>
    <row r="23" spans="1:7" x14ac:dyDescent="0.2">
      <c r="A23" s="262"/>
      <c r="B23" s="263"/>
      <c r="C23" s="140">
        <v>1</v>
      </c>
      <c r="D23" s="140" t="s">
        <v>747</v>
      </c>
      <c r="E23" s="140">
        <v>10</v>
      </c>
      <c r="F23" s="141" t="s">
        <v>748</v>
      </c>
      <c r="G23" s="264"/>
    </row>
    <row r="24" spans="1:7" x14ac:dyDescent="0.2">
      <c r="A24" s="104">
        <v>2</v>
      </c>
      <c r="B24" s="68" t="s">
        <v>213</v>
      </c>
      <c r="C24" s="68"/>
      <c r="D24" s="68"/>
      <c r="E24" s="68"/>
      <c r="F24" s="105"/>
      <c r="G24" s="106">
        <f>ROUND(($G$21),2)</f>
        <v>72476</v>
      </c>
    </row>
    <row r="27" spans="1:7" x14ac:dyDescent="0.2">
      <c r="A27" s="265" t="s">
        <v>758</v>
      </c>
      <c r="B27" s="265"/>
      <c r="C27" s="265"/>
      <c r="D27" s="265"/>
      <c r="E27" s="265"/>
      <c r="F27" s="265"/>
      <c r="G27" s="265"/>
    </row>
    <row r="29" spans="1:7" ht="25.5" customHeight="1" x14ac:dyDescent="0.2">
      <c r="A29" s="104">
        <v>3</v>
      </c>
      <c r="B29" s="246" t="s">
        <v>750</v>
      </c>
      <c r="C29" s="248"/>
      <c r="D29" s="248"/>
      <c r="E29" s="248"/>
      <c r="F29" s="247"/>
      <c r="G29" s="106">
        <f>ROUND(($G$24),2)</f>
        <v>72476</v>
      </c>
    </row>
    <row r="30" spans="1:7" ht="25.5" customHeight="1" x14ac:dyDescent="0.2">
      <c r="A30" s="104">
        <v>4</v>
      </c>
      <c r="B30" s="246" t="s">
        <v>751</v>
      </c>
      <c r="C30" s="248"/>
      <c r="D30" s="248"/>
      <c r="E30" s="248"/>
      <c r="F30" s="247"/>
      <c r="G30" s="106">
        <f>ROUND(($G$29) * 30.8 / 100 * 1,2)</f>
        <v>22322.61</v>
      </c>
    </row>
    <row r="31" spans="1:7" ht="25.5" customHeight="1" x14ac:dyDescent="0.2">
      <c r="A31" s="104">
        <v>5</v>
      </c>
      <c r="B31" s="246" t="s">
        <v>752</v>
      </c>
      <c r="C31" s="248"/>
      <c r="D31" s="248"/>
      <c r="E31" s="248"/>
      <c r="F31" s="247"/>
      <c r="G31" s="106">
        <f>ROUND(($G$29 + $G$30),2)</f>
        <v>94798.61</v>
      </c>
    </row>
    <row r="32" spans="1:7" ht="63.75" customHeight="1" x14ac:dyDescent="0.2">
      <c r="A32" s="104">
        <v>6</v>
      </c>
      <c r="B32" s="246" t="s">
        <v>753</v>
      </c>
      <c r="C32" s="248"/>
      <c r="D32" s="248"/>
      <c r="E32" s="248"/>
      <c r="F32" s="247"/>
      <c r="G32" s="106">
        <f>ROUND(($G$29 + $G$30) * 1/0.4 * 1,2)</f>
        <v>236996.53</v>
      </c>
    </row>
    <row r="33" spans="1:7" ht="25.5" customHeight="1" x14ac:dyDescent="0.2">
      <c r="A33" s="104">
        <v>7</v>
      </c>
      <c r="B33" s="246" t="s">
        <v>754</v>
      </c>
      <c r="C33" s="248"/>
      <c r="D33" s="248"/>
      <c r="E33" s="248"/>
      <c r="F33" s="247"/>
      <c r="G33" s="106">
        <f>ROUND(($G$32) * 8 / 100 * 1,2)</f>
        <v>18959.72</v>
      </c>
    </row>
    <row r="34" spans="1:7" ht="25.5" customHeight="1" x14ac:dyDescent="0.2">
      <c r="A34" s="104">
        <v>8</v>
      </c>
      <c r="B34" s="246" t="s">
        <v>755</v>
      </c>
      <c r="C34" s="248"/>
      <c r="D34" s="248"/>
      <c r="E34" s="248"/>
      <c r="F34" s="247"/>
      <c r="G34" s="106">
        <f>ROUND(($G$32 + $G$33),2)</f>
        <v>255956.25</v>
      </c>
    </row>
    <row r="35" spans="1:7" ht="12.75" customHeight="1" x14ac:dyDescent="0.2">
      <c r="A35" s="104">
        <v>9</v>
      </c>
      <c r="B35" s="246" t="s">
        <v>214</v>
      </c>
      <c r="C35" s="248"/>
      <c r="D35" s="248"/>
      <c r="E35" s="248"/>
      <c r="F35" s="247"/>
      <c r="G35" s="106">
        <v>255956.25</v>
      </c>
    </row>
    <row r="37" spans="1:7" s="93" customFormat="1" ht="12.75" customHeight="1" x14ac:dyDescent="0.2">
      <c r="A37" s="189" t="s">
        <v>215</v>
      </c>
      <c r="B37" s="189"/>
      <c r="C37" s="261"/>
      <c r="D37" s="261"/>
      <c r="E37" s="261"/>
      <c r="F37" s="261"/>
      <c r="G37" s="261"/>
    </row>
    <row r="38" spans="1:7" ht="24.95" customHeight="1" x14ac:dyDescent="0.2">
      <c r="A38" s="94"/>
      <c r="B38" s="94"/>
      <c r="C38" s="94"/>
      <c r="D38" s="94"/>
      <c r="E38" s="94"/>
      <c r="F38" s="63"/>
      <c r="G38" s="63"/>
    </row>
    <row r="39" spans="1:7" x14ac:dyDescent="0.2">
      <c r="A39" s="94"/>
      <c r="B39" s="94"/>
      <c r="C39" s="94"/>
      <c r="D39" s="94"/>
      <c r="E39" s="94"/>
      <c r="F39" s="63"/>
      <c r="G39" s="63"/>
    </row>
  </sheetData>
  <mergeCells count="32">
    <mergeCell ref="A37:B37"/>
    <mergeCell ref="C37:G37"/>
    <mergeCell ref="A21:A23"/>
    <mergeCell ref="B21:B23"/>
    <mergeCell ref="G21:G23"/>
    <mergeCell ref="A27:G27"/>
    <mergeCell ref="B29:F29"/>
    <mergeCell ref="B30:F30"/>
    <mergeCell ref="B31:F31"/>
    <mergeCell ref="B32:F32"/>
    <mergeCell ref="B33:F33"/>
    <mergeCell ref="B34:F34"/>
    <mergeCell ref="B35:F35"/>
    <mergeCell ref="A17:G17"/>
    <mergeCell ref="A18:A19"/>
    <mergeCell ref="B18:B19"/>
    <mergeCell ref="C18:D18"/>
    <mergeCell ref="E18:E19"/>
    <mergeCell ref="F18:F19"/>
    <mergeCell ref="G18:G19"/>
    <mergeCell ref="A9:D9"/>
    <mergeCell ref="E9:G9"/>
    <mergeCell ref="A12:D12"/>
    <mergeCell ref="E12:G12"/>
    <mergeCell ref="A14:D14"/>
    <mergeCell ref="E14:G14"/>
    <mergeCell ref="A1:B1"/>
    <mergeCell ref="C1:G1"/>
    <mergeCell ref="B4:F4"/>
    <mergeCell ref="B5:F5"/>
    <mergeCell ref="A7:B7"/>
    <mergeCell ref="C7:G7"/>
  </mergeCells>
  <pageMargins left="0.39374999999999999" right="0.39374999999999999" top="0.59027777777777779" bottom="0.82777777777777783" header="0.51180555555555562" footer="0.59027777777777779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29D1D-AD1A-4E73-B572-98074959B7E3}">
  <dimension ref="A1:G126"/>
  <sheetViews>
    <sheetView topLeftCell="A94" workbookViewId="0">
      <selection activeCell="C126" sqref="C126:G126"/>
    </sheetView>
  </sheetViews>
  <sheetFormatPr defaultColWidth="11.5703125" defaultRowHeight="12.75" x14ac:dyDescent="0.2"/>
  <cols>
    <col min="1" max="1" width="5.7109375" style="107" customWidth="1"/>
    <col min="2" max="2" width="20.42578125" style="107" customWidth="1"/>
    <col min="3" max="3" width="31.7109375" style="107" customWidth="1"/>
    <col min="4" max="4" width="5" style="107" customWidth="1"/>
    <col min="5" max="5" width="4.5703125" style="107" customWidth="1"/>
    <col min="6" max="6" width="15.42578125" style="107" customWidth="1"/>
    <col min="7" max="7" width="11.5703125" style="107"/>
    <col min="8" max="16384" width="11.5703125" style="58"/>
  </cols>
  <sheetData>
    <row r="1" spans="1:7" ht="50.85" customHeight="1" x14ac:dyDescent="0.2">
      <c r="A1" s="190" t="s">
        <v>99</v>
      </c>
      <c r="B1" s="191"/>
      <c r="C1" s="192" t="s">
        <v>883</v>
      </c>
      <c r="D1" s="192"/>
      <c r="E1" s="192"/>
      <c r="F1" s="192"/>
      <c r="G1" s="192"/>
    </row>
    <row r="2" spans="1:7" x14ac:dyDescent="0.2">
      <c r="A2" s="59"/>
      <c r="B2" s="59"/>
      <c r="C2" s="60"/>
      <c r="D2" s="60"/>
      <c r="E2" s="60"/>
      <c r="F2" s="60"/>
      <c r="G2" s="60"/>
    </row>
    <row r="3" spans="1:7" x14ac:dyDescent="0.2">
      <c r="A3" s="59"/>
      <c r="B3" s="59"/>
      <c r="C3" s="60"/>
      <c r="D3" s="60"/>
      <c r="E3" s="60"/>
      <c r="F3" s="60"/>
      <c r="G3" s="60"/>
    </row>
    <row r="4" spans="1:7" x14ac:dyDescent="0.2">
      <c r="B4" s="193" t="s">
        <v>100</v>
      </c>
      <c r="C4" s="193"/>
      <c r="D4" s="193"/>
      <c r="E4" s="193"/>
      <c r="F4" s="193"/>
    </row>
    <row r="5" spans="1:7" x14ac:dyDescent="0.2">
      <c r="B5" s="194" t="s">
        <v>101</v>
      </c>
      <c r="C5" s="194"/>
      <c r="D5" s="194"/>
      <c r="E5" s="194"/>
      <c r="F5" s="194"/>
    </row>
    <row r="6" spans="1:7" x14ac:dyDescent="0.2">
      <c r="B6" s="61"/>
      <c r="C6" s="61"/>
      <c r="D6" s="61"/>
      <c r="E6" s="61"/>
      <c r="F6" s="61"/>
    </row>
    <row r="7" spans="1:7" ht="51" customHeight="1" x14ac:dyDescent="0.2">
      <c r="A7" s="189" t="s">
        <v>102</v>
      </c>
      <c r="B7" s="189"/>
      <c r="C7" s="195" t="s">
        <v>87</v>
      </c>
      <c r="D7" s="195"/>
      <c r="E7" s="195"/>
      <c r="F7" s="195"/>
      <c r="G7" s="195"/>
    </row>
    <row r="8" spans="1:7" x14ac:dyDescent="0.2">
      <c r="C8" s="62"/>
      <c r="D8" s="62"/>
      <c r="E8" s="62"/>
    </row>
    <row r="9" spans="1:7" ht="68.25" customHeight="1" x14ac:dyDescent="0.2">
      <c r="A9" s="189" t="s">
        <v>103</v>
      </c>
      <c r="B9" s="189"/>
      <c r="C9" s="196" t="s">
        <v>104</v>
      </c>
      <c r="D9" s="196"/>
      <c r="E9" s="196"/>
      <c r="F9" s="196"/>
      <c r="G9" s="196"/>
    </row>
    <row r="10" spans="1:7" ht="12.75" customHeight="1" x14ac:dyDescent="0.2">
      <c r="A10" s="63"/>
      <c r="B10" s="63"/>
      <c r="C10" s="64"/>
      <c r="D10" s="64"/>
      <c r="E10" s="64"/>
      <c r="F10" s="64"/>
      <c r="G10" s="64"/>
    </row>
    <row r="11" spans="1:7" ht="39" customHeight="1" x14ac:dyDescent="0.2">
      <c r="A11" s="189" t="s">
        <v>105</v>
      </c>
      <c r="B11" s="189"/>
      <c r="C11" s="189"/>
      <c r="D11" s="189"/>
      <c r="E11" s="189"/>
      <c r="F11" s="189"/>
      <c r="G11" s="189"/>
    </row>
    <row r="12" spans="1:7" ht="12.75" customHeight="1" x14ac:dyDescent="0.2">
      <c r="A12" s="63"/>
      <c r="B12" s="63"/>
      <c r="C12" s="196"/>
      <c r="D12" s="196"/>
      <c r="E12" s="196"/>
      <c r="F12" s="196"/>
      <c r="G12" s="196"/>
    </row>
    <row r="13" spans="1:7" x14ac:dyDescent="0.2">
      <c r="A13" s="189" t="s">
        <v>106</v>
      </c>
      <c r="B13" s="189"/>
      <c r="C13" s="189"/>
      <c r="D13" s="189"/>
      <c r="E13" s="189"/>
      <c r="F13" s="189"/>
      <c r="G13" s="189"/>
    </row>
    <row r="14" spans="1:7" ht="12.75" customHeight="1" x14ac:dyDescent="0.2">
      <c r="A14" s="63"/>
      <c r="B14" s="63"/>
      <c r="C14" s="64"/>
      <c r="D14" s="64"/>
      <c r="E14" s="64"/>
      <c r="F14" s="64"/>
      <c r="G14" s="64"/>
    </row>
    <row r="15" spans="1:7" ht="38.25" customHeight="1" x14ac:dyDescent="0.2">
      <c r="A15" s="197" t="s">
        <v>107</v>
      </c>
      <c r="B15" s="197"/>
      <c r="C15" s="197"/>
      <c r="D15" s="197"/>
      <c r="E15" s="197"/>
      <c r="F15" s="197"/>
      <c r="G15" s="197"/>
    </row>
    <row r="16" spans="1:7" ht="12.75" customHeight="1" x14ac:dyDescent="0.2">
      <c r="A16" s="198" t="s">
        <v>218</v>
      </c>
      <c r="B16" s="198"/>
      <c r="C16" s="198"/>
      <c r="D16" s="198"/>
      <c r="E16" s="198"/>
      <c r="F16" s="198"/>
      <c r="G16" s="198"/>
    </row>
    <row r="17" spans="1:7" ht="127.5" customHeight="1" x14ac:dyDescent="0.2">
      <c r="A17" s="127" t="s">
        <v>108</v>
      </c>
      <c r="B17" s="127" t="s">
        <v>109</v>
      </c>
      <c r="C17" s="127" t="s">
        <v>110</v>
      </c>
      <c r="D17" s="127" t="s">
        <v>111</v>
      </c>
      <c r="E17" s="127" t="s">
        <v>112</v>
      </c>
      <c r="F17" s="127" t="s">
        <v>113</v>
      </c>
      <c r="G17" s="127" t="s">
        <v>114</v>
      </c>
    </row>
    <row r="18" spans="1:7" x14ac:dyDescent="0.2">
      <c r="A18" s="128">
        <v>1</v>
      </c>
      <c r="B18" s="129">
        <v>2</v>
      </c>
      <c r="C18" s="129">
        <v>3</v>
      </c>
      <c r="D18" s="129">
        <v>4</v>
      </c>
      <c r="E18" s="129">
        <v>5</v>
      </c>
      <c r="F18" s="129">
        <v>6</v>
      </c>
      <c r="G18" s="129">
        <v>7</v>
      </c>
    </row>
    <row r="19" spans="1:7" ht="25.5" customHeight="1" x14ac:dyDescent="0.2">
      <c r="A19" s="65" t="s">
        <v>6</v>
      </c>
      <c r="B19" s="66" t="s">
        <v>115</v>
      </c>
      <c r="C19" s="66" t="s">
        <v>116</v>
      </c>
      <c r="D19" s="66"/>
      <c r="E19" s="66"/>
      <c r="F19" s="66"/>
      <c r="G19" s="67"/>
    </row>
    <row r="20" spans="1:7" ht="76.5" customHeight="1" x14ac:dyDescent="0.2">
      <c r="A20" s="65" t="s">
        <v>117</v>
      </c>
      <c r="B20" s="68" t="s">
        <v>118</v>
      </c>
      <c r="C20" s="68" t="s">
        <v>119</v>
      </c>
      <c r="D20" s="68"/>
      <c r="E20" s="68"/>
      <c r="F20" s="68" t="s">
        <v>120</v>
      </c>
      <c r="G20" s="69">
        <v>97200</v>
      </c>
    </row>
    <row r="21" spans="1:7" ht="38.25" customHeight="1" x14ac:dyDescent="0.2">
      <c r="A21" s="65" t="s">
        <v>121</v>
      </c>
      <c r="B21" s="66" t="s">
        <v>122</v>
      </c>
      <c r="C21" s="66"/>
      <c r="D21" s="66"/>
      <c r="E21" s="66"/>
      <c r="F21" s="66"/>
      <c r="G21" s="70">
        <f>ROUND(($G$20),2)</f>
        <v>97200</v>
      </c>
    </row>
    <row r="22" spans="1:7" ht="38.25" customHeight="1" x14ac:dyDescent="0.2">
      <c r="A22" s="65" t="s">
        <v>123</v>
      </c>
      <c r="B22" s="66" t="s">
        <v>124</v>
      </c>
      <c r="C22" s="66"/>
      <c r="D22" s="66"/>
      <c r="E22" s="66"/>
      <c r="F22" s="66"/>
      <c r="G22" s="70">
        <f>ROUND(($G$21),2)</f>
        <v>97200</v>
      </c>
    </row>
    <row r="23" spans="1:7" ht="25.5" customHeight="1" x14ac:dyDescent="0.2">
      <c r="A23" s="65" t="s">
        <v>7</v>
      </c>
      <c r="B23" s="66" t="s">
        <v>115</v>
      </c>
      <c r="C23" s="66" t="s">
        <v>73</v>
      </c>
      <c r="D23" s="66"/>
      <c r="E23" s="66"/>
      <c r="F23" s="66"/>
      <c r="G23" s="67"/>
    </row>
    <row r="24" spans="1:7" ht="12.75" customHeight="1" x14ac:dyDescent="0.2">
      <c r="A24" s="199" t="s">
        <v>125</v>
      </c>
      <c r="B24" s="201" t="s">
        <v>884</v>
      </c>
      <c r="C24" s="203" t="s">
        <v>126</v>
      </c>
      <c r="D24" s="203" t="s">
        <v>127</v>
      </c>
      <c r="E24" s="203">
        <v>1</v>
      </c>
      <c r="F24" s="203" t="s">
        <v>128</v>
      </c>
      <c r="G24" s="204">
        <f>ROUND(25.45 * 1 * 540 * 4 * 1.5 * 1.2,2)</f>
        <v>98949.6</v>
      </c>
    </row>
    <row r="25" spans="1:7" ht="369.75" customHeight="1" x14ac:dyDescent="0.2">
      <c r="A25" s="200"/>
      <c r="B25" s="202"/>
      <c r="C25" s="202"/>
      <c r="D25" s="202"/>
      <c r="E25" s="202"/>
      <c r="F25" s="202"/>
      <c r="G25" s="205"/>
    </row>
    <row r="26" spans="1:7" ht="102" customHeight="1" x14ac:dyDescent="0.2">
      <c r="A26" s="200"/>
      <c r="B26" s="202"/>
      <c r="C26" s="202"/>
      <c r="D26" s="202"/>
      <c r="E26" s="202"/>
      <c r="F26" s="202"/>
      <c r="G26" s="205"/>
    </row>
    <row r="27" spans="1:7" ht="15.75" customHeight="1" x14ac:dyDescent="0.2">
      <c r="A27" s="130" t="s">
        <v>129</v>
      </c>
      <c r="B27" s="131" t="s">
        <v>130</v>
      </c>
      <c r="C27" s="131"/>
      <c r="D27" s="131"/>
      <c r="E27" s="131"/>
      <c r="F27" s="131"/>
      <c r="G27" s="132"/>
    </row>
    <row r="28" spans="1:7" ht="51" customHeight="1" x14ac:dyDescent="0.2">
      <c r="A28" s="74" t="s">
        <v>129</v>
      </c>
      <c r="B28" s="75" t="s">
        <v>131</v>
      </c>
      <c r="C28" s="75" t="s">
        <v>132</v>
      </c>
      <c r="D28" s="75"/>
      <c r="E28" s="75"/>
      <c r="F28" s="75"/>
      <c r="G28" s="76"/>
    </row>
    <row r="29" spans="1:7" ht="76.5" customHeight="1" x14ac:dyDescent="0.2">
      <c r="A29" s="74" t="s">
        <v>129</v>
      </c>
      <c r="B29" s="75" t="s">
        <v>133</v>
      </c>
      <c r="C29" s="75" t="s">
        <v>134</v>
      </c>
      <c r="D29" s="75"/>
      <c r="E29" s="75"/>
      <c r="F29" s="75"/>
      <c r="G29" s="76"/>
    </row>
    <row r="30" spans="1:7" ht="127.5" customHeight="1" x14ac:dyDescent="0.2">
      <c r="A30" s="74" t="s">
        <v>129</v>
      </c>
      <c r="B30" s="75" t="s">
        <v>135</v>
      </c>
      <c r="C30" s="75" t="s">
        <v>136</v>
      </c>
      <c r="D30" s="75"/>
      <c r="E30" s="75"/>
      <c r="F30" s="75"/>
      <c r="G30" s="76"/>
    </row>
    <row r="31" spans="1:7" ht="28.5" customHeight="1" x14ac:dyDescent="0.2">
      <c r="A31" s="74" t="s">
        <v>129</v>
      </c>
      <c r="B31" s="77" t="s">
        <v>137</v>
      </c>
      <c r="C31" s="77"/>
      <c r="D31" s="77"/>
      <c r="E31" s="77"/>
      <c r="F31" s="77"/>
      <c r="G31" s="78"/>
    </row>
    <row r="32" spans="1:7" ht="12.75" customHeight="1" x14ac:dyDescent="0.2">
      <c r="A32" s="96" t="s">
        <v>129</v>
      </c>
      <c r="B32" s="97" t="s">
        <v>138</v>
      </c>
      <c r="C32" s="79">
        <v>1</v>
      </c>
      <c r="D32" s="97"/>
      <c r="E32" s="97"/>
      <c r="F32" s="97"/>
      <c r="G32" s="80"/>
    </row>
    <row r="33" spans="1:7" ht="140.25" customHeight="1" x14ac:dyDescent="0.2">
      <c r="A33" s="90" t="s">
        <v>139</v>
      </c>
      <c r="B33" s="91" t="s">
        <v>140</v>
      </c>
      <c r="C33" s="81" t="s">
        <v>141</v>
      </c>
      <c r="D33" s="81" t="s">
        <v>142</v>
      </c>
      <c r="E33" s="81">
        <v>20</v>
      </c>
      <c r="F33" s="81" t="s">
        <v>143</v>
      </c>
      <c r="G33" s="82">
        <f>ROUND(0.167 * 20 * 540 * 4 * 1.2,2)</f>
        <v>8657.2800000000007</v>
      </c>
    </row>
    <row r="34" spans="1:7" ht="15.75" customHeight="1" x14ac:dyDescent="0.2">
      <c r="A34" s="130" t="s">
        <v>129</v>
      </c>
      <c r="B34" s="131" t="s">
        <v>130</v>
      </c>
      <c r="C34" s="131"/>
      <c r="D34" s="131"/>
      <c r="E34" s="131"/>
      <c r="F34" s="131"/>
      <c r="G34" s="132"/>
    </row>
    <row r="35" spans="1:7" ht="51" customHeight="1" x14ac:dyDescent="0.2">
      <c r="A35" s="74" t="s">
        <v>129</v>
      </c>
      <c r="B35" s="75" t="s">
        <v>131</v>
      </c>
      <c r="C35" s="75" t="s">
        <v>132</v>
      </c>
      <c r="D35" s="75"/>
      <c r="E35" s="75"/>
      <c r="F35" s="75"/>
      <c r="G35" s="76"/>
    </row>
    <row r="36" spans="1:7" ht="127.5" customHeight="1" x14ac:dyDescent="0.2">
      <c r="A36" s="74" t="s">
        <v>129</v>
      </c>
      <c r="B36" s="75" t="s">
        <v>135</v>
      </c>
      <c r="C36" s="75" t="s">
        <v>144</v>
      </c>
      <c r="D36" s="75"/>
      <c r="E36" s="75"/>
      <c r="F36" s="75"/>
      <c r="G36" s="76"/>
    </row>
    <row r="37" spans="1:7" ht="28.5" customHeight="1" x14ac:dyDescent="0.2">
      <c r="A37" s="74" t="s">
        <v>129</v>
      </c>
      <c r="B37" s="77" t="s">
        <v>137</v>
      </c>
      <c r="C37" s="77"/>
      <c r="D37" s="77"/>
      <c r="E37" s="77"/>
      <c r="F37" s="77"/>
      <c r="G37" s="78"/>
    </row>
    <row r="38" spans="1:7" ht="12.75" customHeight="1" x14ac:dyDescent="0.2">
      <c r="A38" s="96" t="s">
        <v>129</v>
      </c>
      <c r="B38" s="97" t="s">
        <v>138</v>
      </c>
      <c r="C38" s="79">
        <v>1</v>
      </c>
      <c r="D38" s="97"/>
      <c r="E38" s="97"/>
      <c r="F38" s="97"/>
      <c r="G38" s="80"/>
    </row>
    <row r="39" spans="1:7" ht="38.25" customHeight="1" x14ac:dyDescent="0.2">
      <c r="A39" s="96" t="s">
        <v>145</v>
      </c>
      <c r="B39" s="83" t="s">
        <v>146</v>
      </c>
      <c r="C39" s="83"/>
      <c r="D39" s="83"/>
      <c r="E39" s="83"/>
      <c r="F39" s="83"/>
      <c r="G39" s="84">
        <f>ROUND((SUM($G$24:$G$33)),2)</f>
        <v>107606.88</v>
      </c>
    </row>
    <row r="40" spans="1:7" ht="38.25" customHeight="1" x14ac:dyDescent="0.2">
      <c r="A40" s="65" t="s">
        <v>147</v>
      </c>
      <c r="B40" s="66" t="s">
        <v>148</v>
      </c>
      <c r="C40" s="66"/>
      <c r="D40" s="66"/>
      <c r="E40" s="66"/>
      <c r="F40" s="66"/>
      <c r="G40" s="70">
        <f>ROUND(($G$39),2)</f>
        <v>107606.88</v>
      </c>
    </row>
    <row r="41" spans="1:7" ht="25.5" customHeight="1" x14ac:dyDescent="0.2">
      <c r="A41" s="65" t="s">
        <v>23</v>
      </c>
      <c r="B41" s="66" t="s">
        <v>115</v>
      </c>
      <c r="C41" s="66" t="s">
        <v>74</v>
      </c>
      <c r="D41" s="66"/>
      <c r="E41" s="66"/>
      <c r="F41" s="66"/>
      <c r="G41" s="67"/>
    </row>
    <row r="42" spans="1:7" ht="178.5" customHeight="1" x14ac:dyDescent="0.2">
      <c r="A42" s="133" t="s">
        <v>149</v>
      </c>
      <c r="B42" s="134" t="s">
        <v>150</v>
      </c>
      <c r="C42" s="135" t="s">
        <v>151</v>
      </c>
      <c r="D42" s="135" t="s">
        <v>152</v>
      </c>
      <c r="E42" s="135">
        <v>8</v>
      </c>
      <c r="F42" s="135" t="s">
        <v>153</v>
      </c>
      <c r="G42" s="136">
        <f>ROUND(0.47 * 8 * 540 * 4 * 0.3 * 1.2 * 1.3,2)</f>
        <v>3800.91</v>
      </c>
    </row>
    <row r="43" spans="1:7" ht="15.75" customHeight="1" x14ac:dyDescent="0.2">
      <c r="A43" s="130" t="s">
        <v>129</v>
      </c>
      <c r="B43" s="131" t="s">
        <v>130</v>
      </c>
      <c r="C43" s="131"/>
      <c r="D43" s="131"/>
      <c r="E43" s="131"/>
      <c r="F43" s="131"/>
      <c r="G43" s="132"/>
    </row>
    <row r="44" spans="1:7" ht="51" customHeight="1" x14ac:dyDescent="0.2">
      <c r="A44" s="74" t="s">
        <v>129</v>
      </c>
      <c r="B44" s="75" t="s">
        <v>131</v>
      </c>
      <c r="C44" s="75" t="s">
        <v>132</v>
      </c>
      <c r="D44" s="75"/>
      <c r="E44" s="75"/>
      <c r="F44" s="75"/>
      <c r="G44" s="76"/>
    </row>
    <row r="45" spans="1:7" ht="51" customHeight="1" x14ac:dyDescent="0.2">
      <c r="A45" s="74" t="s">
        <v>129</v>
      </c>
      <c r="B45" s="75" t="s">
        <v>154</v>
      </c>
      <c r="C45" s="75" t="s">
        <v>155</v>
      </c>
      <c r="D45" s="75"/>
      <c r="E45" s="75"/>
      <c r="F45" s="75"/>
      <c r="G45" s="76"/>
    </row>
    <row r="46" spans="1:7" ht="127.5" customHeight="1" x14ac:dyDescent="0.2">
      <c r="A46" s="74" t="s">
        <v>129</v>
      </c>
      <c r="B46" s="75" t="s">
        <v>135</v>
      </c>
      <c r="C46" s="75" t="s">
        <v>136</v>
      </c>
      <c r="D46" s="75"/>
      <c r="E46" s="75"/>
      <c r="F46" s="75"/>
      <c r="G46" s="76"/>
    </row>
    <row r="47" spans="1:7" ht="165.75" customHeight="1" x14ac:dyDescent="0.2">
      <c r="A47" s="74" t="s">
        <v>129</v>
      </c>
      <c r="B47" s="75" t="s">
        <v>156</v>
      </c>
      <c r="C47" s="75" t="s">
        <v>157</v>
      </c>
      <c r="D47" s="75"/>
      <c r="E47" s="75"/>
      <c r="F47" s="75"/>
      <c r="G47" s="76"/>
    </row>
    <row r="48" spans="1:7" ht="28.5" customHeight="1" x14ac:dyDescent="0.2">
      <c r="A48" s="74" t="s">
        <v>129</v>
      </c>
      <c r="B48" s="77" t="s">
        <v>137</v>
      </c>
      <c r="C48" s="77"/>
      <c r="D48" s="77"/>
      <c r="E48" s="77"/>
      <c r="F48" s="77"/>
      <c r="G48" s="78"/>
    </row>
    <row r="49" spans="1:7" ht="12.75" customHeight="1" x14ac:dyDescent="0.2">
      <c r="A49" s="74" t="s">
        <v>129</v>
      </c>
      <c r="B49" s="75" t="s">
        <v>158</v>
      </c>
      <c r="C49" s="89">
        <v>0.53</v>
      </c>
      <c r="D49" s="75"/>
      <c r="E49" s="75"/>
      <c r="F49" s="75"/>
      <c r="G49" s="76"/>
    </row>
    <row r="50" spans="1:7" ht="12.75" customHeight="1" x14ac:dyDescent="0.2">
      <c r="A50" s="96" t="s">
        <v>129</v>
      </c>
      <c r="B50" s="97" t="s">
        <v>159</v>
      </c>
      <c r="C50" s="79">
        <v>0.47</v>
      </c>
      <c r="D50" s="97"/>
      <c r="E50" s="97"/>
      <c r="F50" s="97"/>
      <c r="G50" s="80"/>
    </row>
    <row r="51" spans="1:7" ht="178.5" customHeight="1" x14ac:dyDescent="0.2">
      <c r="A51" s="90" t="s">
        <v>160</v>
      </c>
      <c r="B51" s="91" t="s">
        <v>161</v>
      </c>
      <c r="C51" s="81" t="s">
        <v>162</v>
      </c>
      <c r="D51" s="81" t="s">
        <v>152</v>
      </c>
      <c r="E51" s="81">
        <v>1</v>
      </c>
      <c r="F51" s="81" t="s">
        <v>163</v>
      </c>
      <c r="G51" s="82">
        <f>ROUND(0.23 * 1 * 540 * 4 * 0.3 * 1.2 * 1.3 * 1.5,2)</f>
        <v>348.75</v>
      </c>
    </row>
    <row r="52" spans="1:7" ht="15.75" customHeight="1" x14ac:dyDescent="0.2">
      <c r="A52" s="130" t="s">
        <v>129</v>
      </c>
      <c r="B52" s="131" t="s">
        <v>130</v>
      </c>
      <c r="C52" s="131"/>
      <c r="D52" s="131"/>
      <c r="E52" s="131"/>
      <c r="F52" s="131"/>
      <c r="G52" s="132"/>
    </row>
    <row r="53" spans="1:7" ht="51" customHeight="1" x14ac:dyDescent="0.2">
      <c r="A53" s="74" t="s">
        <v>129</v>
      </c>
      <c r="B53" s="75" t="s">
        <v>131</v>
      </c>
      <c r="C53" s="75" t="s">
        <v>132</v>
      </c>
      <c r="D53" s="75"/>
      <c r="E53" s="75"/>
      <c r="F53" s="75"/>
      <c r="G53" s="76"/>
    </row>
    <row r="54" spans="1:7" ht="51" customHeight="1" x14ac:dyDescent="0.2">
      <c r="A54" s="74" t="s">
        <v>129</v>
      </c>
      <c r="B54" s="75" t="s">
        <v>154</v>
      </c>
      <c r="C54" s="75" t="s">
        <v>155</v>
      </c>
      <c r="D54" s="75"/>
      <c r="E54" s="75"/>
      <c r="F54" s="75"/>
      <c r="G54" s="76"/>
    </row>
    <row r="55" spans="1:7" ht="127.5" customHeight="1" x14ac:dyDescent="0.2">
      <c r="A55" s="74" t="s">
        <v>129</v>
      </c>
      <c r="B55" s="75" t="s">
        <v>135</v>
      </c>
      <c r="C55" s="75" t="s">
        <v>136</v>
      </c>
      <c r="D55" s="75"/>
      <c r="E55" s="75"/>
      <c r="F55" s="75"/>
      <c r="G55" s="76"/>
    </row>
    <row r="56" spans="1:7" ht="165.75" customHeight="1" x14ac:dyDescent="0.2">
      <c r="A56" s="74" t="s">
        <v>129</v>
      </c>
      <c r="B56" s="75" t="s">
        <v>156</v>
      </c>
      <c r="C56" s="75" t="s">
        <v>157</v>
      </c>
      <c r="D56" s="75"/>
      <c r="E56" s="75"/>
      <c r="F56" s="75"/>
      <c r="G56" s="76"/>
    </row>
    <row r="57" spans="1:7" ht="102" customHeight="1" x14ac:dyDescent="0.2">
      <c r="A57" s="74" t="s">
        <v>129</v>
      </c>
      <c r="B57" s="75" t="s">
        <v>164</v>
      </c>
      <c r="C57" s="75" t="s">
        <v>165</v>
      </c>
      <c r="D57" s="75"/>
      <c r="E57" s="75"/>
      <c r="F57" s="75"/>
      <c r="G57" s="76"/>
    </row>
    <row r="58" spans="1:7" ht="28.5" customHeight="1" x14ac:dyDescent="0.2">
      <c r="A58" s="74" t="s">
        <v>129</v>
      </c>
      <c r="B58" s="77" t="s">
        <v>137</v>
      </c>
      <c r="C58" s="77"/>
      <c r="D58" s="77"/>
      <c r="E58" s="77"/>
      <c r="F58" s="77"/>
      <c r="G58" s="78"/>
    </row>
    <row r="59" spans="1:7" ht="12.75" customHeight="1" x14ac:dyDescent="0.2">
      <c r="A59" s="74" t="s">
        <v>129</v>
      </c>
      <c r="B59" s="75" t="s">
        <v>158</v>
      </c>
      <c r="C59" s="89">
        <v>0.53</v>
      </c>
      <c r="D59" s="75"/>
      <c r="E59" s="75"/>
      <c r="F59" s="75"/>
      <c r="G59" s="76"/>
    </row>
    <row r="60" spans="1:7" ht="12.75" customHeight="1" x14ac:dyDescent="0.2">
      <c r="A60" s="96" t="s">
        <v>129</v>
      </c>
      <c r="B60" s="97" t="s">
        <v>159</v>
      </c>
      <c r="C60" s="79">
        <v>0.47</v>
      </c>
      <c r="D60" s="97"/>
      <c r="E60" s="97"/>
      <c r="F60" s="97"/>
      <c r="G60" s="80"/>
    </row>
    <row r="61" spans="1:7" ht="267.75" customHeight="1" x14ac:dyDescent="0.2">
      <c r="A61" s="90" t="s">
        <v>166</v>
      </c>
      <c r="B61" s="91" t="s">
        <v>167</v>
      </c>
      <c r="C61" s="81" t="s">
        <v>168</v>
      </c>
      <c r="D61" s="81" t="s">
        <v>169</v>
      </c>
      <c r="E61" s="81">
        <v>9</v>
      </c>
      <c r="F61" s="81" t="s">
        <v>170</v>
      </c>
      <c r="G61" s="82">
        <f>ROUND(6 * 9 * 540 * 4 * 1.2,2)</f>
        <v>139968</v>
      </c>
    </row>
    <row r="62" spans="1:7" ht="15.75" customHeight="1" x14ac:dyDescent="0.2">
      <c r="A62" s="130" t="s">
        <v>129</v>
      </c>
      <c r="B62" s="131" t="s">
        <v>130</v>
      </c>
      <c r="C62" s="131"/>
      <c r="D62" s="131"/>
      <c r="E62" s="131"/>
      <c r="F62" s="131"/>
      <c r="G62" s="132"/>
    </row>
    <row r="63" spans="1:7" ht="51" customHeight="1" x14ac:dyDescent="0.2">
      <c r="A63" s="74" t="s">
        <v>129</v>
      </c>
      <c r="B63" s="75" t="s">
        <v>131</v>
      </c>
      <c r="C63" s="75" t="s">
        <v>132</v>
      </c>
      <c r="D63" s="75"/>
      <c r="E63" s="75"/>
      <c r="F63" s="75"/>
      <c r="G63" s="76"/>
    </row>
    <row r="64" spans="1:7" ht="127.5" customHeight="1" x14ac:dyDescent="0.2">
      <c r="A64" s="74" t="s">
        <v>129</v>
      </c>
      <c r="B64" s="75" t="s">
        <v>135</v>
      </c>
      <c r="C64" s="75" t="s">
        <v>144</v>
      </c>
      <c r="D64" s="75"/>
      <c r="E64" s="75"/>
      <c r="F64" s="75"/>
      <c r="G64" s="76"/>
    </row>
    <row r="65" spans="1:7" ht="28.5" customHeight="1" x14ac:dyDescent="0.2">
      <c r="A65" s="74" t="s">
        <v>129</v>
      </c>
      <c r="B65" s="77" t="s">
        <v>137</v>
      </c>
      <c r="C65" s="77"/>
      <c r="D65" s="77"/>
      <c r="E65" s="77"/>
      <c r="F65" s="77"/>
      <c r="G65" s="78"/>
    </row>
    <row r="66" spans="1:7" ht="12.75" customHeight="1" x14ac:dyDescent="0.2">
      <c r="A66" s="96" t="s">
        <v>129</v>
      </c>
      <c r="B66" s="97" t="s">
        <v>138</v>
      </c>
      <c r="C66" s="79">
        <v>1</v>
      </c>
      <c r="D66" s="97"/>
      <c r="E66" s="97"/>
      <c r="F66" s="97"/>
      <c r="G66" s="80"/>
    </row>
    <row r="67" spans="1:7" ht="178.5" customHeight="1" x14ac:dyDescent="0.2">
      <c r="A67" s="90" t="s">
        <v>171</v>
      </c>
      <c r="B67" s="91" t="s">
        <v>172</v>
      </c>
      <c r="C67" s="81" t="s">
        <v>173</v>
      </c>
      <c r="D67" s="81" t="s">
        <v>174</v>
      </c>
      <c r="E67" s="81">
        <v>6</v>
      </c>
      <c r="F67" s="81" t="s">
        <v>175</v>
      </c>
      <c r="G67" s="82">
        <f>ROUND(2.42 * 6 * 540 * 4 * 1.3 * 1.2,2)</f>
        <v>48926.59</v>
      </c>
    </row>
    <row r="68" spans="1:7" ht="15.75" customHeight="1" x14ac:dyDescent="0.2">
      <c r="A68" s="130" t="s">
        <v>129</v>
      </c>
      <c r="B68" s="131" t="s">
        <v>130</v>
      </c>
      <c r="C68" s="131"/>
      <c r="D68" s="131"/>
      <c r="E68" s="131"/>
      <c r="F68" s="131"/>
      <c r="G68" s="132"/>
    </row>
    <row r="69" spans="1:7" ht="25.5" customHeight="1" x14ac:dyDescent="0.2">
      <c r="A69" s="74" t="s">
        <v>129</v>
      </c>
      <c r="B69" s="75" t="s">
        <v>176</v>
      </c>
      <c r="C69" s="75" t="s">
        <v>177</v>
      </c>
      <c r="D69" s="75"/>
      <c r="E69" s="75"/>
      <c r="F69" s="75"/>
      <c r="G69" s="76"/>
    </row>
    <row r="70" spans="1:7" ht="102" customHeight="1" x14ac:dyDescent="0.2">
      <c r="A70" s="74" t="s">
        <v>129</v>
      </c>
      <c r="B70" s="75" t="s">
        <v>178</v>
      </c>
      <c r="C70" s="75" t="s">
        <v>179</v>
      </c>
      <c r="D70" s="75"/>
      <c r="E70" s="75"/>
      <c r="F70" s="75"/>
      <c r="G70" s="76"/>
    </row>
    <row r="71" spans="1:7" ht="127.5" customHeight="1" x14ac:dyDescent="0.2">
      <c r="A71" s="74" t="s">
        <v>129</v>
      </c>
      <c r="B71" s="75" t="s">
        <v>135</v>
      </c>
      <c r="C71" s="75" t="s">
        <v>136</v>
      </c>
      <c r="D71" s="75"/>
      <c r="E71" s="75"/>
      <c r="F71" s="75"/>
      <c r="G71" s="76"/>
    </row>
    <row r="72" spans="1:7" ht="28.5" customHeight="1" x14ac:dyDescent="0.2">
      <c r="A72" s="74" t="s">
        <v>129</v>
      </c>
      <c r="B72" s="77" t="s">
        <v>137</v>
      </c>
      <c r="C72" s="77"/>
      <c r="D72" s="77"/>
      <c r="E72" s="77"/>
      <c r="F72" s="77"/>
      <c r="G72" s="78"/>
    </row>
    <row r="73" spans="1:7" ht="12.75" customHeight="1" x14ac:dyDescent="0.2">
      <c r="A73" s="96" t="s">
        <v>129</v>
      </c>
      <c r="B73" s="97" t="s">
        <v>138</v>
      </c>
      <c r="C73" s="79">
        <v>1</v>
      </c>
      <c r="D73" s="97"/>
      <c r="E73" s="97"/>
      <c r="F73" s="97"/>
      <c r="G73" s="80"/>
    </row>
    <row r="74" spans="1:7" ht="127.5" customHeight="1" x14ac:dyDescent="0.2">
      <c r="A74" s="206" t="s">
        <v>180</v>
      </c>
      <c r="B74" s="207" t="s">
        <v>181</v>
      </c>
      <c r="C74" s="202" t="s">
        <v>182</v>
      </c>
      <c r="D74" s="202" t="s">
        <v>174</v>
      </c>
      <c r="E74" s="202">
        <v>2</v>
      </c>
      <c r="F74" s="202" t="s">
        <v>183</v>
      </c>
      <c r="G74" s="205">
        <f>ROUND(1.97 * 2 * 540 * 4 * 1.3 * 1.2,2)</f>
        <v>13276.22</v>
      </c>
    </row>
    <row r="75" spans="1:7" ht="51" customHeight="1" x14ac:dyDescent="0.2">
      <c r="A75" s="200"/>
      <c r="B75" s="202"/>
      <c r="C75" s="202"/>
      <c r="D75" s="202"/>
      <c r="E75" s="202"/>
      <c r="F75" s="202"/>
      <c r="G75" s="205"/>
    </row>
    <row r="76" spans="1:7" ht="15.75" customHeight="1" x14ac:dyDescent="0.2">
      <c r="A76" s="130" t="s">
        <v>129</v>
      </c>
      <c r="B76" s="131" t="s">
        <v>130</v>
      </c>
      <c r="C76" s="131"/>
      <c r="D76" s="131"/>
      <c r="E76" s="131"/>
      <c r="F76" s="131"/>
      <c r="G76" s="132"/>
    </row>
    <row r="77" spans="1:7" ht="51" customHeight="1" x14ac:dyDescent="0.2">
      <c r="A77" s="74" t="s">
        <v>129</v>
      </c>
      <c r="B77" s="75" t="s">
        <v>131</v>
      </c>
      <c r="C77" s="75" t="s">
        <v>132</v>
      </c>
      <c r="D77" s="75"/>
      <c r="E77" s="75"/>
      <c r="F77" s="75"/>
      <c r="G77" s="76"/>
    </row>
    <row r="78" spans="1:7" ht="102" customHeight="1" x14ac:dyDescent="0.2">
      <c r="A78" s="74" t="s">
        <v>129</v>
      </c>
      <c r="B78" s="75" t="s">
        <v>178</v>
      </c>
      <c r="C78" s="75" t="s">
        <v>179</v>
      </c>
      <c r="D78" s="75"/>
      <c r="E78" s="75"/>
      <c r="F78" s="75"/>
      <c r="G78" s="76"/>
    </row>
    <row r="79" spans="1:7" ht="127.5" customHeight="1" x14ac:dyDescent="0.2">
      <c r="A79" s="74" t="s">
        <v>129</v>
      </c>
      <c r="B79" s="75" t="s">
        <v>135</v>
      </c>
      <c r="C79" s="75" t="s">
        <v>136</v>
      </c>
      <c r="D79" s="75"/>
      <c r="E79" s="75"/>
      <c r="F79" s="75"/>
      <c r="G79" s="76"/>
    </row>
    <row r="80" spans="1:7" ht="28.5" customHeight="1" x14ac:dyDescent="0.2">
      <c r="A80" s="74" t="s">
        <v>129</v>
      </c>
      <c r="B80" s="77" t="s">
        <v>137</v>
      </c>
      <c r="C80" s="77"/>
      <c r="D80" s="77"/>
      <c r="E80" s="77"/>
      <c r="F80" s="77"/>
      <c r="G80" s="78"/>
    </row>
    <row r="81" spans="1:7" ht="12.75" customHeight="1" x14ac:dyDescent="0.2">
      <c r="A81" s="96" t="s">
        <v>129</v>
      </c>
      <c r="B81" s="97" t="s">
        <v>138</v>
      </c>
      <c r="C81" s="79">
        <v>1</v>
      </c>
      <c r="D81" s="97"/>
      <c r="E81" s="97"/>
      <c r="F81" s="97"/>
      <c r="G81" s="80"/>
    </row>
    <row r="82" spans="1:7" ht="267.75" customHeight="1" x14ac:dyDescent="0.2">
      <c r="A82" s="90" t="s">
        <v>184</v>
      </c>
      <c r="B82" s="91" t="s">
        <v>167</v>
      </c>
      <c r="C82" s="81" t="s">
        <v>185</v>
      </c>
      <c r="D82" s="81" t="s">
        <v>169</v>
      </c>
      <c r="E82" s="81">
        <v>8</v>
      </c>
      <c r="F82" s="81" t="s">
        <v>186</v>
      </c>
      <c r="G82" s="82">
        <f>ROUND(6 * 8 * 540 * 4 * 1.2,2)</f>
        <v>124416</v>
      </c>
    </row>
    <row r="83" spans="1:7" ht="15.75" customHeight="1" x14ac:dyDescent="0.2">
      <c r="A83" s="130" t="s">
        <v>129</v>
      </c>
      <c r="B83" s="131" t="s">
        <v>130</v>
      </c>
      <c r="C83" s="131"/>
      <c r="D83" s="131"/>
      <c r="E83" s="131"/>
      <c r="F83" s="131"/>
      <c r="G83" s="132"/>
    </row>
    <row r="84" spans="1:7" ht="51" customHeight="1" x14ac:dyDescent="0.2">
      <c r="A84" s="74" t="s">
        <v>129</v>
      </c>
      <c r="B84" s="75" t="s">
        <v>131</v>
      </c>
      <c r="C84" s="75" t="s">
        <v>132</v>
      </c>
      <c r="D84" s="75"/>
      <c r="E84" s="75"/>
      <c r="F84" s="75"/>
      <c r="G84" s="76"/>
    </row>
    <row r="85" spans="1:7" ht="127.5" customHeight="1" x14ac:dyDescent="0.2">
      <c r="A85" s="74" t="s">
        <v>129</v>
      </c>
      <c r="B85" s="75" t="s">
        <v>135</v>
      </c>
      <c r="C85" s="75" t="s">
        <v>144</v>
      </c>
      <c r="D85" s="75"/>
      <c r="E85" s="75"/>
      <c r="F85" s="75"/>
      <c r="G85" s="76"/>
    </row>
    <row r="86" spans="1:7" ht="28.5" customHeight="1" x14ac:dyDescent="0.2">
      <c r="A86" s="74" t="s">
        <v>129</v>
      </c>
      <c r="B86" s="77" t="s">
        <v>137</v>
      </c>
      <c r="C86" s="77"/>
      <c r="D86" s="77"/>
      <c r="E86" s="77"/>
      <c r="F86" s="77"/>
      <c r="G86" s="78"/>
    </row>
    <row r="87" spans="1:7" ht="12.75" customHeight="1" x14ac:dyDescent="0.2">
      <c r="A87" s="96" t="s">
        <v>129</v>
      </c>
      <c r="B87" s="97" t="s">
        <v>138</v>
      </c>
      <c r="C87" s="79">
        <v>1</v>
      </c>
      <c r="D87" s="97"/>
      <c r="E87" s="97"/>
      <c r="F87" s="97"/>
      <c r="G87" s="80"/>
    </row>
    <row r="88" spans="1:7" ht="191.25" customHeight="1" x14ac:dyDescent="0.2">
      <c r="A88" s="90" t="s">
        <v>187</v>
      </c>
      <c r="B88" s="91" t="s">
        <v>188</v>
      </c>
      <c r="C88" s="81" t="s">
        <v>189</v>
      </c>
      <c r="D88" s="81" t="s">
        <v>190</v>
      </c>
      <c r="E88" s="81">
        <v>0.2</v>
      </c>
      <c r="F88" s="81" t="s">
        <v>191</v>
      </c>
      <c r="G88" s="82">
        <f>ROUND(37.35 * 0.2 * 540 * 4 * 1.2,2)</f>
        <v>19362.240000000002</v>
      </c>
    </row>
    <row r="89" spans="1:7" ht="15.75" customHeight="1" x14ac:dyDescent="0.2">
      <c r="A89" s="130" t="s">
        <v>129</v>
      </c>
      <c r="B89" s="131" t="s">
        <v>130</v>
      </c>
      <c r="C89" s="131"/>
      <c r="D89" s="131"/>
      <c r="E89" s="131"/>
      <c r="F89" s="131"/>
      <c r="G89" s="132"/>
    </row>
    <row r="90" spans="1:7" ht="51" customHeight="1" x14ac:dyDescent="0.2">
      <c r="A90" s="74" t="s">
        <v>129</v>
      </c>
      <c r="B90" s="75" t="s">
        <v>131</v>
      </c>
      <c r="C90" s="75" t="s">
        <v>132</v>
      </c>
      <c r="D90" s="75"/>
      <c r="E90" s="75"/>
      <c r="F90" s="75"/>
      <c r="G90" s="76"/>
    </row>
    <row r="91" spans="1:7" ht="127.5" customHeight="1" x14ac:dyDescent="0.2">
      <c r="A91" s="74" t="s">
        <v>129</v>
      </c>
      <c r="B91" s="75" t="s">
        <v>135</v>
      </c>
      <c r="C91" s="75" t="s">
        <v>144</v>
      </c>
      <c r="D91" s="75"/>
      <c r="E91" s="75"/>
      <c r="F91" s="75"/>
      <c r="G91" s="76"/>
    </row>
    <row r="92" spans="1:7" ht="28.5" customHeight="1" x14ac:dyDescent="0.2">
      <c r="A92" s="74" t="s">
        <v>129</v>
      </c>
      <c r="B92" s="77" t="s">
        <v>137</v>
      </c>
      <c r="C92" s="77"/>
      <c r="D92" s="77"/>
      <c r="E92" s="77"/>
      <c r="F92" s="77"/>
      <c r="G92" s="78"/>
    </row>
    <row r="93" spans="1:7" ht="12.75" customHeight="1" x14ac:dyDescent="0.2">
      <c r="A93" s="96" t="s">
        <v>129</v>
      </c>
      <c r="B93" s="97" t="s">
        <v>138</v>
      </c>
      <c r="C93" s="79">
        <v>1</v>
      </c>
      <c r="D93" s="97"/>
      <c r="E93" s="97"/>
      <c r="F93" s="97"/>
      <c r="G93" s="80"/>
    </row>
    <row r="94" spans="1:7" ht="178.5" customHeight="1" x14ac:dyDescent="0.2">
      <c r="A94" s="206" t="s">
        <v>192</v>
      </c>
      <c r="B94" s="207" t="s">
        <v>193</v>
      </c>
      <c r="C94" s="202" t="s">
        <v>194</v>
      </c>
      <c r="D94" s="202" t="s">
        <v>190</v>
      </c>
      <c r="E94" s="202">
        <v>0.4</v>
      </c>
      <c r="F94" s="202" t="s">
        <v>195</v>
      </c>
      <c r="G94" s="205">
        <f>ROUND(53.28 * 0.4 * 540 * 4 * 1.2,2)</f>
        <v>55240.7</v>
      </c>
    </row>
    <row r="95" spans="1:7" ht="12.75" customHeight="1" x14ac:dyDescent="0.2">
      <c r="A95" s="200"/>
      <c r="B95" s="202"/>
      <c r="C95" s="202"/>
      <c r="D95" s="202"/>
      <c r="E95" s="202"/>
      <c r="F95" s="202"/>
      <c r="G95" s="205"/>
    </row>
    <row r="96" spans="1:7" ht="15.75" customHeight="1" x14ac:dyDescent="0.2">
      <c r="A96" s="130" t="s">
        <v>129</v>
      </c>
      <c r="B96" s="131" t="s">
        <v>130</v>
      </c>
      <c r="C96" s="131"/>
      <c r="D96" s="131"/>
      <c r="E96" s="131"/>
      <c r="F96" s="131"/>
      <c r="G96" s="132"/>
    </row>
    <row r="97" spans="1:7" ht="51" customHeight="1" x14ac:dyDescent="0.2">
      <c r="A97" s="74" t="s">
        <v>129</v>
      </c>
      <c r="B97" s="75" t="s">
        <v>131</v>
      </c>
      <c r="C97" s="75" t="s">
        <v>132</v>
      </c>
      <c r="D97" s="75"/>
      <c r="E97" s="75"/>
      <c r="F97" s="75"/>
      <c r="G97" s="76"/>
    </row>
    <row r="98" spans="1:7" ht="127.5" customHeight="1" x14ac:dyDescent="0.2">
      <c r="A98" s="74" t="s">
        <v>129</v>
      </c>
      <c r="B98" s="75" t="s">
        <v>135</v>
      </c>
      <c r="C98" s="75" t="s">
        <v>144</v>
      </c>
      <c r="D98" s="75"/>
      <c r="E98" s="75"/>
      <c r="F98" s="75"/>
      <c r="G98" s="76"/>
    </row>
    <row r="99" spans="1:7" ht="28.5" customHeight="1" x14ac:dyDescent="0.2">
      <c r="A99" s="74" t="s">
        <v>129</v>
      </c>
      <c r="B99" s="77" t="s">
        <v>137</v>
      </c>
      <c r="C99" s="77"/>
      <c r="D99" s="77"/>
      <c r="E99" s="77"/>
      <c r="F99" s="77"/>
      <c r="G99" s="78"/>
    </row>
    <row r="100" spans="1:7" ht="12.75" customHeight="1" x14ac:dyDescent="0.2">
      <c r="A100" s="96" t="s">
        <v>129</v>
      </c>
      <c r="B100" s="97" t="s">
        <v>138</v>
      </c>
      <c r="C100" s="79">
        <v>1</v>
      </c>
      <c r="D100" s="97"/>
      <c r="E100" s="97"/>
      <c r="F100" s="97"/>
      <c r="G100" s="80"/>
    </row>
    <row r="101" spans="1:7" ht="140.25" customHeight="1" x14ac:dyDescent="0.2">
      <c r="A101" s="90" t="s">
        <v>196</v>
      </c>
      <c r="B101" s="91" t="s">
        <v>197</v>
      </c>
      <c r="C101" s="81" t="s">
        <v>198</v>
      </c>
      <c r="D101" s="81" t="s">
        <v>199</v>
      </c>
      <c r="E101" s="81">
        <v>1.6</v>
      </c>
      <c r="F101" s="81" t="s">
        <v>200</v>
      </c>
      <c r="G101" s="82">
        <f>ROUND(1.03 * 1.6 * 540 * 4 * 1.2,2)</f>
        <v>4271.62</v>
      </c>
    </row>
    <row r="102" spans="1:7" ht="15.75" customHeight="1" x14ac:dyDescent="0.2">
      <c r="A102" s="130" t="s">
        <v>129</v>
      </c>
      <c r="B102" s="131" t="s">
        <v>130</v>
      </c>
      <c r="C102" s="131"/>
      <c r="D102" s="131"/>
      <c r="E102" s="131"/>
      <c r="F102" s="131"/>
      <c r="G102" s="132"/>
    </row>
    <row r="103" spans="1:7" ht="51" customHeight="1" x14ac:dyDescent="0.2">
      <c r="A103" s="74" t="s">
        <v>129</v>
      </c>
      <c r="B103" s="75" t="s">
        <v>131</v>
      </c>
      <c r="C103" s="75" t="s">
        <v>132</v>
      </c>
      <c r="D103" s="75"/>
      <c r="E103" s="75"/>
      <c r="F103" s="75"/>
      <c r="G103" s="76"/>
    </row>
    <row r="104" spans="1:7" ht="127.5" customHeight="1" x14ac:dyDescent="0.2">
      <c r="A104" s="74" t="s">
        <v>129</v>
      </c>
      <c r="B104" s="75" t="s">
        <v>135</v>
      </c>
      <c r="C104" s="75" t="s">
        <v>144</v>
      </c>
      <c r="D104" s="75"/>
      <c r="E104" s="75"/>
      <c r="F104" s="75"/>
      <c r="G104" s="76"/>
    </row>
    <row r="105" spans="1:7" ht="28.5" customHeight="1" x14ac:dyDescent="0.2">
      <c r="A105" s="74" t="s">
        <v>129</v>
      </c>
      <c r="B105" s="77" t="s">
        <v>137</v>
      </c>
      <c r="C105" s="77"/>
      <c r="D105" s="77"/>
      <c r="E105" s="77"/>
      <c r="F105" s="77"/>
      <c r="G105" s="78"/>
    </row>
    <row r="106" spans="1:7" ht="12.75" customHeight="1" x14ac:dyDescent="0.2">
      <c r="A106" s="96" t="s">
        <v>129</v>
      </c>
      <c r="B106" s="97" t="s">
        <v>138</v>
      </c>
      <c r="C106" s="79">
        <v>1</v>
      </c>
      <c r="D106" s="97"/>
      <c r="E106" s="97"/>
      <c r="F106" s="97"/>
      <c r="G106" s="80"/>
    </row>
    <row r="107" spans="1:7" ht="140.25" customHeight="1" x14ac:dyDescent="0.2">
      <c r="A107" s="90" t="s">
        <v>201</v>
      </c>
      <c r="B107" s="91" t="s">
        <v>202</v>
      </c>
      <c r="C107" s="81" t="s">
        <v>203</v>
      </c>
      <c r="D107" s="81" t="s">
        <v>199</v>
      </c>
      <c r="E107" s="81">
        <v>3.5</v>
      </c>
      <c r="F107" s="81" t="s">
        <v>204</v>
      </c>
      <c r="G107" s="82">
        <f>ROUND(0.82 * 3.5 * 540 * 4 * 1.2,2)</f>
        <v>7439.04</v>
      </c>
    </row>
    <row r="108" spans="1:7" ht="15.75" customHeight="1" x14ac:dyDescent="0.2">
      <c r="A108" s="130" t="s">
        <v>129</v>
      </c>
      <c r="B108" s="131" t="s">
        <v>130</v>
      </c>
      <c r="C108" s="131"/>
      <c r="D108" s="131"/>
      <c r="E108" s="131"/>
      <c r="F108" s="131"/>
      <c r="G108" s="132"/>
    </row>
    <row r="109" spans="1:7" ht="51" customHeight="1" x14ac:dyDescent="0.2">
      <c r="A109" s="74" t="s">
        <v>129</v>
      </c>
      <c r="B109" s="75" t="s">
        <v>131</v>
      </c>
      <c r="C109" s="75" t="s">
        <v>132</v>
      </c>
      <c r="D109" s="75"/>
      <c r="E109" s="75"/>
      <c r="F109" s="75"/>
      <c r="G109" s="76"/>
    </row>
    <row r="110" spans="1:7" ht="127.5" customHeight="1" x14ac:dyDescent="0.2">
      <c r="A110" s="74" t="s">
        <v>129</v>
      </c>
      <c r="B110" s="75" t="s">
        <v>135</v>
      </c>
      <c r="C110" s="75" t="s">
        <v>144</v>
      </c>
      <c r="D110" s="75"/>
      <c r="E110" s="75"/>
      <c r="F110" s="75"/>
      <c r="G110" s="76"/>
    </row>
    <row r="111" spans="1:7" ht="28.5" customHeight="1" x14ac:dyDescent="0.2">
      <c r="A111" s="74" t="s">
        <v>129</v>
      </c>
      <c r="B111" s="77" t="s">
        <v>137</v>
      </c>
      <c r="C111" s="77"/>
      <c r="D111" s="77"/>
      <c r="E111" s="77"/>
      <c r="F111" s="77"/>
      <c r="G111" s="78"/>
    </row>
    <row r="112" spans="1:7" ht="12.75" customHeight="1" x14ac:dyDescent="0.2">
      <c r="A112" s="96" t="s">
        <v>129</v>
      </c>
      <c r="B112" s="97" t="s">
        <v>138</v>
      </c>
      <c r="C112" s="79">
        <v>1</v>
      </c>
      <c r="D112" s="97"/>
      <c r="E112" s="97"/>
      <c r="F112" s="97"/>
      <c r="G112" s="80"/>
    </row>
    <row r="113" spans="1:7" ht="140.25" customHeight="1" x14ac:dyDescent="0.2">
      <c r="A113" s="90" t="s">
        <v>205</v>
      </c>
      <c r="B113" s="91" t="s">
        <v>206</v>
      </c>
      <c r="C113" s="81" t="s">
        <v>207</v>
      </c>
      <c r="D113" s="81" t="s">
        <v>199</v>
      </c>
      <c r="E113" s="81">
        <v>2.6</v>
      </c>
      <c r="F113" s="81" t="s">
        <v>208</v>
      </c>
      <c r="G113" s="82">
        <f>ROUND(0.62 * 2.6 * 540 * 4 * 1.2,2)</f>
        <v>4178.3</v>
      </c>
    </row>
    <row r="114" spans="1:7" ht="15.75" customHeight="1" x14ac:dyDescent="0.2">
      <c r="A114" s="130" t="s">
        <v>129</v>
      </c>
      <c r="B114" s="131" t="s">
        <v>130</v>
      </c>
      <c r="C114" s="131"/>
      <c r="D114" s="131"/>
      <c r="E114" s="131"/>
      <c r="F114" s="131"/>
      <c r="G114" s="132"/>
    </row>
    <row r="115" spans="1:7" ht="51" customHeight="1" x14ac:dyDescent="0.2">
      <c r="A115" s="74" t="s">
        <v>129</v>
      </c>
      <c r="B115" s="75" t="s">
        <v>131</v>
      </c>
      <c r="C115" s="75" t="s">
        <v>132</v>
      </c>
      <c r="D115" s="75"/>
      <c r="E115" s="75"/>
      <c r="F115" s="75"/>
      <c r="G115" s="76"/>
    </row>
    <row r="116" spans="1:7" ht="127.5" customHeight="1" x14ac:dyDescent="0.2">
      <c r="A116" s="74" t="s">
        <v>129</v>
      </c>
      <c r="B116" s="75" t="s">
        <v>135</v>
      </c>
      <c r="C116" s="75" t="s">
        <v>144</v>
      </c>
      <c r="D116" s="75"/>
      <c r="E116" s="75"/>
      <c r="F116" s="75"/>
      <c r="G116" s="76"/>
    </row>
    <row r="117" spans="1:7" ht="28.5" customHeight="1" x14ac:dyDescent="0.2">
      <c r="A117" s="74" t="s">
        <v>129</v>
      </c>
      <c r="B117" s="77" t="s">
        <v>137</v>
      </c>
      <c r="C117" s="77"/>
      <c r="D117" s="77"/>
      <c r="E117" s="77"/>
      <c r="F117" s="77"/>
      <c r="G117" s="78"/>
    </row>
    <row r="118" spans="1:7" ht="12.75" customHeight="1" x14ac:dyDescent="0.2">
      <c r="A118" s="96" t="s">
        <v>129</v>
      </c>
      <c r="B118" s="97" t="s">
        <v>138</v>
      </c>
      <c r="C118" s="79">
        <v>1</v>
      </c>
      <c r="D118" s="97"/>
      <c r="E118" s="97"/>
      <c r="F118" s="97"/>
      <c r="G118" s="80"/>
    </row>
    <row r="119" spans="1:7" ht="51" customHeight="1" x14ac:dyDescent="0.2">
      <c r="A119" s="96" t="s">
        <v>209</v>
      </c>
      <c r="B119" s="83" t="s">
        <v>210</v>
      </c>
      <c r="C119" s="83"/>
      <c r="D119" s="83"/>
      <c r="E119" s="83"/>
      <c r="F119" s="83"/>
      <c r="G119" s="84">
        <f>ROUND((SUM($G$42:$G$113)),2)</f>
        <v>421228.37</v>
      </c>
    </row>
    <row r="120" spans="1:7" ht="51" customHeight="1" x14ac:dyDescent="0.2">
      <c r="A120" s="65" t="s">
        <v>211</v>
      </c>
      <c r="B120" s="66" t="s">
        <v>212</v>
      </c>
      <c r="C120" s="66"/>
      <c r="D120" s="66"/>
      <c r="E120" s="66"/>
      <c r="F120" s="66"/>
      <c r="G120" s="70">
        <f>ROUND(($G$119),2)</f>
        <v>421228.37</v>
      </c>
    </row>
    <row r="121" spans="1:7" ht="12.75" customHeight="1" x14ac:dyDescent="0.2">
      <c r="A121" s="65" t="s">
        <v>24</v>
      </c>
      <c r="B121" s="66" t="s">
        <v>213</v>
      </c>
      <c r="C121" s="66"/>
      <c r="D121" s="66"/>
      <c r="E121" s="66"/>
      <c r="F121" s="66"/>
      <c r="G121" s="70">
        <f>ROUND(($G$22 + $G$40 + $G$120),2)</f>
        <v>626035.25</v>
      </c>
    </row>
    <row r="122" spans="1:7" ht="12.75" customHeight="1" x14ac:dyDescent="0.2">
      <c r="A122" s="65" t="s">
        <v>25</v>
      </c>
      <c r="B122" s="66" t="s">
        <v>214</v>
      </c>
      <c r="C122" s="66"/>
      <c r="D122" s="66"/>
      <c r="E122" s="66"/>
      <c r="F122" s="66"/>
      <c r="G122" s="70">
        <f>ROUND(($G$121),2)</f>
        <v>626035.25</v>
      </c>
    </row>
    <row r="123" spans="1:7" ht="12.75" customHeight="1" x14ac:dyDescent="0.2"/>
    <row r="126" spans="1:7" s="93" customFormat="1" ht="24.95" customHeight="1" x14ac:dyDescent="0.25">
      <c r="A126" s="189" t="s">
        <v>215</v>
      </c>
      <c r="B126" s="189"/>
      <c r="C126" s="189"/>
      <c r="D126" s="189"/>
      <c r="E126" s="189"/>
      <c r="F126" s="189"/>
      <c r="G126" s="189"/>
    </row>
  </sheetData>
  <mergeCells count="38">
    <mergeCell ref="A126:B126"/>
    <mergeCell ref="C126:G126"/>
    <mergeCell ref="G74:G75"/>
    <mergeCell ref="A94:A95"/>
    <mergeCell ref="B94:B95"/>
    <mergeCell ref="C94:C95"/>
    <mergeCell ref="D94:D95"/>
    <mergeCell ref="E94:E95"/>
    <mergeCell ref="F94:F95"/>
    <mergeCell ref="G94:G95"/>
    <mergeCell ref="A74:A75"/>
    <mergeCell ref="B74:B75"/>
    <mergeCell ref="C74:C75"/>
    <mergeCell ref="D74:D75"/>
    <mergeCell ref="E74:E75"/>
    <mergeCell ref="F74:F75"/>
    <mergeCell ref="A15:G15"/>
    <mergeCell ref="A16:G16"/>
    <mergeCell ref="A24:A26"/>
    <mergeCell ref="B24:B26"/>
    <mergeCell ref="C24:C26"/>
    <mergeCell ref="D24:D26"/>
    <mergeCell ref="E24:E26"/>
    <mergeCell ref="F24:F26"/>
    <mergeCell ref="G24:G26"/>
    <mergeCell ref="A13:B13"/>
    <mergeCell ref="C13:G13"/>
    <mergeCell ref="A1:B1"/>
    <mergeCell ref="C1:G1"/>
    <mergeCell ref="B4:F4"/>
    <mergeCell ref="B5:F5"/>
    <mergeCell ref="A7:B7"/>
    <mergeCell ref="C7:G7"/>
    <mergeCell ref="A9:B9"/>
    <mergeCell ref="C9:G9"/>
    <mergeCell ref="A11:B11"/>
    <mergeCell ref="C11:G11"/>
    <mergeCell ref="C12:G12"/>
  </mergeCells>
  <pageMargins left="0.39374999999999999" right="0.39374999999999999" top="0.59027777777777779" bottom="0.82777777777777783" header="0.51180555555555562" footer="0.59027777777777779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98189-12B7-400D-A717-306CAF1C1601}">
  <dimension ref="A1:G39"/>
  <sheetViews>
    <sheetView topLeftCell="A26" workbookViewId="0">
      <selection activeCell="L24" sqref="L24"/>
    </sheetView>
  </sheetViews>
  <sheetFormatPr defaultColWidth="11.5703125" defaultRowHeight="12.75" x14ac:dyDescent="0.2"/>
  <cols>
    <col min="1" max="1" width="4.7109375" style="157" customWidth="1"/>
    <col min="2" max="2" width="20.42578125" style="157" customWidth="1"/>
    <col min="3" max="3" width="13.140625" style="157" customWidth="1"/>
    <col min="4" max="4" width="12.85546875" style="157" customWidth="1"/>
    <col min="5" max="5" width="14.28515625" style="157" customWidth="1"/>
    <col min="6" max="6" width="15.28515625" style="58" customWidth="1"/>
    <col min="7" max="7" width="16.28515625" style="58" customWidth="1"/>
    <col min="8" max="16384" width="11.5703125" style="58"/>
  </cols>
  <sheetData>
    <row r="1" spans="1:7" ht="25.5" customHeight="1" x14ac:dyDescent="0.2">
      <c r="A1" s="208" t="s">
        <v>99</v>
      </c>
      <c r="B1" s="189"/>
      <c r="C1" s="257" t="s">
        <v>1118</v>
      </c>
      <c r="D1" s="257"/>
      <c r="E1" s="257"/>
      <c r="F1" s="257"/>
      <c r="G1" s="257"/>
    </row>
    <row r="2" spans="1:7" x14ac:dyDescent="0.2">
      <c r="A2" s="100"/>
      <c r="B2" s="101"/>
      <c r="C2" s="102"/>
      <c r="D2" s="102"/>
      <c r="E2" s="102"/>
      <c r="F2" s="102"/>
      <c r="G2" s="102"/>
    </row>
    <row r="3" spans="1:7" x14ac:dyDescent="0.2">
      <c r="A3" s="100"/>
      <c r="B3" s="101"/>
      <c r="C3" s="102"/>
      <c r="D3" s="102"/>
      <c r="E3" s="102"/>
      <c r="F3" s="102"/>
      <c r="G3" s="102"/>
    </row>
    <row r="4" spans="1:7" x14ac:dyDescent="0.2">
      <c r="B4" s="258" t="s">
        <v>805</v>
      </c>
      <c r="C4" s="258"/>
      <c r="D4" s="258"/>
      <c r="E4" s="258"/>
      <c r="F4" s="258"/>
    </row>
    <row r="5" spans="1:7" x14ac:dyDescent="0.2">
      <c r="B5" s="259" t="s">
        <v>101</v>
      </c>
      <c r="C5" s="259" t="s">
        <v>732</v>
      </c>
      <c r="D5" s="259" t="s">
        <v>732</v>
      </c>
      <c r="E5" s="259"/>
      <c r="F5" s="259"/>
    </row>
    <row r="6" spans="1:7" x14ac:dyDescent="0.2">
      <c r="B6" s="158"/>
      <c r="C6" s="158"/>
      <c r="D6" s="158"/>
      <c r="E6" s="158"/>
      <c r="F6" s="158"/>
    </row>
    <row r="7" spans="1:7" ht="38.25" customHeight="1" x14ac:dyDescent="0.2">
      <c r="A7" s="189" t="s">
        <v>102</v>
      </c>
      <c r="B7" s="189"/>
      <c r="C7" s="189" t="s">
        <v>87</v>
      </c>
      <c r="D7" s="189"/>
      <c r="E7" s="189"/>
      <c r="F7" s="189"/>
      <c r="G7" s="189"/>
    </row>
    <row r="8" spans="1:7" x14ac:dyDescent="0.2">
      <c r="C8" s="62"/>
      <c r="D8" s="62"/>
    </row>
    <row r="9" spans="1:7" ht="40.5" customHeight="1" x14ac:dyDescent="0.2">
      <c r="A9" s="189" t="s">
        <v>103</v>
      </c>
      <c r="B9" s="189"/>
      <c r="C9" s="189"/>
      <c r="D9" s="189"/>
      <c r="E9" s="196" t="s">
        <v>1119</v>
      </c>
      <c r="F9" s="196"/>
      <c r="G9" s="196"/>
    </row>
    <row r="10" spans="1:7" hidden="1" x14ac:dyDescent="0.2">
      <c r="A10" s="63"/>
      <c r="B10" s="63"/>
      <c r="C10" s="158"/>
      <c r="D10" s="158"/>
      <c r="E10" s="158"/>
      <c r="F10" s="158"/>
      <c r="G10" s="158"/>
    </row>
    <row r="12" spans="1:7" ht="27.95" customHeight="1" x14ac:dyDescent="0.2">
      <c r="A12" s="189" t="s">
        <v>105</v>
      </c>
      <c r="B12" s="189"/>
      <c r="C12" s="189"/>
      <c r="D12" s="189"/>
      <c r="E12" s="196"/>
      <c r="F12" s="196"/>
      <c r="G12" s="196"/>
    </row>
    <row r="13" spans="1:7" hidden="1" x14ac:dyDescent="0.2"/>
    <row r="14" spans="1:7" ht="27.95" customHeight="1" x14ac:dyDescent="0.2">
      <c r="A14" s="189" t="s">
        <v>106</v>
      </c>
      <c r="B14" s="189"/>
      <c r="C14" s="189"/>
      <c r="D14" s="189"/>
      <c r="E14" s="196"/>
      <c r="F14" s="196"/>
      <c r="G14" s="196"/>
    </row>
    <row r="15" spans="1:7" hidden="1" x14ac:dyDescent="0.2">
      <c r="A15" s="153"/>
      <c r="B15" s="153"/>
      <c r="C15" s="63"/>
      <c r="D15" s="153"/>
      <c r="E15" s="153"/>
    </row>
    <row r="16" spans="1:7" ht="12.75" customHeight="1" x14ac:dyDescent="0.2">
      <c r="A16" s="153"/>
      <c r="B16" s="153"/>
      <c r="C16" s="63"/>
      <c r="D16" s="153"/>
      <c r="E16" s="153"/>
    </row>
    <row r="17" spans="1:7" ht="12.75" customHeight="1" x14ac:dyDescent="0.2">
      <c r="A17" s="198" t="s">
        <v>218</v>
      </c>
      <c r="B17" s="198"/>
      <c r="C17" s="198"/>
      <c r="D17" s="198"/>
      <c r="E17" s="198"/>
      <c r="F17" s="198"/>
      <c r="G17" s="198"/>
    </row>
    <row r="18" spans="1:7" ht="31.35" customHeight="1" x14ac:dyDescent="0.2">
      <c r="A18" s="304" t="s">
        <v>734</v>
      </c>
      <c r="B18" s="304" t="s">
        <v>735</v>
      </c>
      <c r="C18" s="304" t="s">
        <v>736</v>
      </c>
      <c r="D18" s="304"/>
      <c r="E18" s="304" t="s">
        <v>737</v>
      </c>
      <c r="F18" s="304" t="s">
        <v>738</v>
      </c>
      <c r="G18" s="304" t="s">
        <v>739</v>
      </c>
    </row>
    <row r="19" spans="1:7" ht="31.7" customHeight="1" x14ac:dyDescent="0.2">
      <c r="A19" s="304"/>
      <c r="B19" s="304"/>
      <c r="C19" s="160" t="s">
        <v>740</v>
      </c>
      <c r="D19" s="160" t="s">
        <v>741</v>
      </c>
      <c r="E19" s="304"/>
      <c r="F19" s="304"/>
      <c r="G19" s="304"/>
    </row>
    <row r="20" spans="1:7" x14ac:dyDescent="0.2">
      <c r="A20" s="162">
        <v>1</v>
      </c>
      <c r="B20" s="162">
        <v>2</v>
      </c>
      <c r="C20" s="162">
        <v>3</v>
      </c>
      <c r="D20" s="162">
        <v>4</v>
      </c>
      <c r="E20" s="162">
        <v>5</v>
      </c>
      <c r="F20" s="172">
        <v>6</v>
      </c>
      <c r="G20" s="172">
        <v>7</v>
      </c>
    </row>
    <row r="21" spans="1:7" ht="25.5" customHeight="1" x14ac:dyDescent="0.2">
      <c r="A21" s="305">
        <v>1</v>
      </c>
      <c r="B21" s="306" t="s">
        <v>1119</v>
      </c>
      <c r="C21" s="173">
        <v>1</v>
      </c>
      <c r="D21" s="173" t="s">
        <v>757</v>
      </c>
      <c r="E21" s="173">
        <v>22</v>
      </c>
      <c r="F21" s="174" t="s">
        <v>744</v>
      </c>
      <c r="G21" s="307">
        <f>ROUND((1*22*8*414.15+1*24*8*258.84+2*24*8*232.96),2)</f>
        <v>212044.32</v>
      </c>
    </row>
    <row r="22" spans="1:7" ht="25.5" x14ac:dyDescent="0.2">
      <c r="A22" s="305"/>
      <c r="B22" s="306"/>
      <c r="C22" s="173">
        <v>1</v>
      </c>
      <c r="D22" s="173" t="s">
        <v>745</v>
      </c>
      <c r="E22" s="173">
        <v>24</v>
      </c>
      <c r="F22" s="174" t="s">
        <v>746</v>
      </c>
      <c r="G22" s="307"/>
    </row>
    <row r="23" spans="1:7" x14ac:dyDescent="0.2">
      <c r="A23" s="305"/>
      <c r="B23" s="306"/>
      <c r="C23" s="173">
        <v>2</v>
      </c>
      <c r="D23" s="173" t="s">
        <v>747</v>
      </c>
      <c r="E23" s="173">
        <v>24</v>
      </c>
      <c r="F23" s="174" t="s">
        <v>748</v>
      </c>
      <c r="G23" s="307"/>
    </row>
    <row r="24" spans="1:7" x14ac:dyDescent="0.2">
      <c r="A24" s="104">
        <v>2</v>
      </c>
      <c r="B24" s="68" t="s">
        <v>213</v>
      </c>
      <c r="C24" s="68"/>
      <c r="D24" s="68"/>
      <c r="E24" s="68"/>
      <c r="F24" s="105"/>
      <c r="G24" s="106">
        <f>ROUND(($G$21),2)</f>
        <v>212044.32</v>
      </c>
    </row>
    <row r="27" spans="1:7" x14ac:dyDescent="0.2">
      <c r="A27" s="265" t="s">
        <v>1120</v>
      </c>
      <c r="B27" s="265"/>
      <c r="C27" s="265"/>
      <c r="D27" s="265"/>
      <c r="E27" s="265"/>
      <c r="F27" s="265"/>
      <c r="G27" s="265"/>
    </row>
    <row r="29" spans="1:7" ht="25.5" customHeight="1" x14ac:dyDescent="0.2">
      <c r="A29" s="104">
        <v>3</v>
      </c>
      <c r="B29" s="246" t="s">
        <v>750</v>
      </c>
      <c r="C29" s="273"/>
      <c r="D29" s="273"/>
      <c r="E29" s="273"/>
      <c r="F29" s="247"/>
      <c r="G29" s="106">
        <f>ROUND(($G$24),2)</f>
        <v>212044.32</v>
      </c>
    </row>
    <row r="30" spans="1:7" ht="25.5" customHeight="1" x14ac:dyDescent="0.2">
      <c r="A30" s="104">
        <v>4</v>
      </c>
      <c r="B30" s="246" t="s">
        <v>751</v>
      </c>
      <c r="C30" s="273"/>
      <c r="D30" s="273"/>
      <c r="E30" s="273"/>
      <c r="F30" s="247"/>
      <c r="G30" s="106">
        <f>ROUND(($G$29) * 30.8 / 100 * 1,2)</f>
        <v>65309.65</v>
      </c>
    </row>
    <row r="31" spans="1:7" ht="25.5" customHeight="1" x14ac:dyDescent="0.2">
      <c r="A31" s="104">
        <v>5</v>
      </c>
      <c r="B31" s="246" t="s">
        <v>752</v>
      </c>
      <c r="C31" s="273"/>
      <c r="D31" s="273"/>
      <c r="E31" s="273"/>
      <c r="F31" s="247"/>
      <c r="G31" s="106">
        <f>ROUND(($G$29 + $G$30),2)</f>
        <v>277353.96999999997</v>
      </c>
    </row>
    <row r="32" spans="1:7" ht="63.75" customHeight="1" x14ac:dyDescent="0.2">
      <c r="A32" s="104">
        <v>6</v>
      </c>
      <c r="B32" s="246" t="s">
        <v>753</v>
      </c>
      <c r="C32" s="273"/>
      <c r="D32" s="273"/>
      <c r="E32" s="273"/>
      <c r="F32" s="247"/>
      <c r="G32" s="106">
        <f>ROUND(($G$29 + $G$30) * 1/0.4 * 1,2)</f>
        <v>693384.93</v>
      </c>
    </row>
    <row r="33" spans="1:7" ht="25.5" customHeight="1" x14ac:dyDescent="0.2">
      <c r="A33" s="104">
        <v>7</v>
      </c>
      <c r="B33" s="246" t="s">
        <v>754</v>
      </c>
      <c r="C33" s="273"/>
      <c r="D33" s="273"/>
      <c r="E33" s="273"/>
      <c r="F33" s="247"/>
      <c r="G33" s="106">
        <f>ROUND(($G$32) * 8 / 100 * 1,2)</f>
        <v>55470.79</v>
      </c>
    </row>
    <row r="34" spans="1:7" ht="25.5" customHeight="1" x14ac:dyDescent="0.2">
      <c r="A34" s="104">
        <v>8</v>
      </c>
      <c r="B34" s="246" t="s">
        <v>755</v>
      </c>
      <c r="C34" s="273"/>
      <c r="D34" s="273"/>
      <c r="E34" s="273"/>
      <c r="F34" s="247"/>
      <c r="G34" s="106">
        <f>ROUND(($G$32 + $G$33),2)</f>
        <v>748855.72</v>
      </c>
    </row>
    <row r="35" spans="1:7" ht="12.75" customHeight="1" x14ac:dyDescent="0.2">
      <c r="A35" s="104">
        <v>9</v>
      </c>
      <c r="B35" s="246" t="s">
        <v>214</v>
      </c>
      <c r="C35" s="273"/>
      <c r="D35" s="273"/>
      <c r="E35" s="273"/>
      <c r="F35" s="247"/>
      <c r="G35" s="106">
        <v>748855.72</v>
      </c>
    </row>
    <row r="37" spans="1:7" s="156" customFormat="1" ht="12.75" customHeight="1" x14ac:dyDescent="0.2">
      <c r="A37" s="189" t="s">
        <v>215</v>
      </c>
      <c r="B37" s="189"/>
      <c r="C37" s="261"/>
      <c r="D37" s="261"/>
      <c r="E37" s="261"/>
      <c r="F37" s="261"/>
      <c r="G37" s="261"/>
    </row>
    <row r="38" spans="1:7" ht="24.95" customHeight="1" x14ac:dyDescent="0.2">
      <c r="A38" s="153"/>
      <c r="B38" s="153"/>
      <c r="C38" s="153"/>
      <c r="D38" s="153"/>
      <c r="E38" s="153"/>
      <c r="F38" s="63"/>
      <c r="G38" s="63"/>
    </row>
    <row r="39" spans="1:7" x14ac:dyDescent="0.2">
      <c r="A39" s="153"/>
      <c r="B39" s="153"/>
      <c r="C39" s="153"/>
      <c r="D39" s="153"/>
      <c r="E39" s="153"/>
      <c r="F39" s="63"/>
      <c r="G39" s="63"/>
    </row>
  </sheetData>
  <mergeCells count="32">
    <mergeCell ref="A37:B37"/>
    <mergeCell ref="C37:G37"/>
    <mergeCell ref="A21:A23"/>
    <mergeCell ref="B21:B23"/>
    <mergeCell ref="G21:G23"/>
    <mergeCell ref="A27:G27"/>
    <mergeCell ref="B29:F29"/>
    <mergeCell ref="B30:F30"/>
    <mergeCell ref="B31:F31"/>
    <mergeCell ref="B32:F32"/>
    <mergeCell ref="B33:F33"/>
    <mergeCell ref="B34:F34"/>
    <mergeCell ref="B35:F35"/>
    <mergeCell ref="A17:G17"/>
    <mergeCell ref="A18:A19"/>
    <mergeCell ref="B18:B19"/>
    <mergeCell ref="C18:D18"/>
    <mergeCell ref="E18:E19"/>
    <mergeCell ref="F18:F19"/>
    <mergeCell ref="G18:G19"/>
    <mergeCell ref="A9:D9"/>
    <mergeCell ref="E9:G9"/>
    <mergeCell ref="A12:D12"/>
    <mergeCell ref="E12:G12"/>
    <mergeCell ref="A14:D14"/>
    <mergeCell ref="E14:G14"/>
    <mergeCell ref="A1:B1"/>
    <mergeCell ref="C1:G1"/>
    <mergeCell ref="B4:F4"/>
    <mergeCell ref="B5:F5"/>
    <mergeCell ref="A7:B7"/>
    <mergeCell ref="C7:G7"/>
  </mergeCells>
  <pageMargins left="0.39374999999999999" right="0.39374999999999999" top="0.59027777777777779" bottom="0.82777777777777783" header="0.51180555555555562" footer="0.59027777777777779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483FD-9F55-4146-B830-21F0DF93FD4D}">
  <dimension ref="A1:I40"/>
  <sheetViews>
    <sheetView topLeftCell="A31" workbookViewId="0">
      <selection activeCell="D39" sqref="D39:I39"/>
    </sheetView>
  </sheetViews>
  <sheetFormatPr defaultColWidth="11.5703125" defaultRowHeight="12.75" x14ac:dyDescent="0.2"/>
  <cols>
    <col min="1" max="1" width="3.7109375" style="107" customWidth="1"/>
    <col min="2" max="2" width="10.7109375" style="107" customWidth="1"/>
    <col min="3" max="3" width="15.5703125" style="107" customWidth="1"/>
    <col min="4" max="4" width="4.42578125" style="107" customWidth="1"/>
    <col min="5" max="7" width="9.28515625" style="107" customWidth="1"/>
    <col min="8" max="8" width="19.7109375" style="107" customWidth="1"/>
    <col min="9" max="9" width="14.7109375" style="107" customWidth="1"/>
    <col min="10" max="10" width="19.7109375" style="58" customWidth="1"/>
    <col min="11" max="16384" width="11.5703125" style="58"/>
  </cols>
  <sheetData>
    <row r="1" spans="1:9" ht="25.5" customHeight="1" x14ac:dyDescent="0.2">
      <c r="A1" s="208" t="s">
        <v>99</v>
      </c>
      <c r="B1" s="208"/>
      <c r="C1" s="208"/>
      <c r="D1" s="192" t="s">
        <v>911</v>
      </c>
      <c r="E1" s="192"/>
      <c r="F1" s="192"/>
      <c r="G1" s="192"/>
      <c r="H1" s="192"/>
      <c r="I1" s="192"/>
    </row>
    <row r="2" spans="1:9" x14ac:dyDescent="0.2">
      <c r="A2" s="59"/>
      <c r="B2" s="59"/>
      <c r="C2" s="59"/>
      <c r="D2" s="60"/>
      <c r="E2" s="60"/>
      <c r="F2" s="60"/>
      <c r="G2" s="60"/>
      <c r="H2" s="60"/>
      <c r="I2" s="60"/>
    </row>
    <row r="3" spans="1:9" x14ac:dyDescent="0.2">
      <c r="A3" s="193" t="s">
        <v>811</v>
      </c>
      <c r="B3" s="193"/>
      <c r="C3" s="193"/>
      <c r="D3" s="193"/>
      <c r="E3" s="193"/>
      <c r="F3" s="193"/>
      <c r="G3" s="193"/>
      <c r="H3" s="193"/>
      <c r="I3" s="193"/>
    </row>
    <row r="4" spans="1:9" x14ac:dyDescent="0.2">
      <c r="A4" s="209" t="s">
        <v>101</v>
      </c>
      <c r="B4" s="209"/>
      <c r="C4" s="209"/>
      <c r="D4" s="209"/>
      <c r="E4" s="209"/>
      <c r="F4" s="209"/>
      <c r="G4" s="209"/>
      <c r="H4" s="209"/>
      <c r="I4" s="209"/>
    </row>
    <row r="5" spans="1:9" x14ac:dyDescent="0.2">
      <c r="A5" s="92"/>
      <c r="B5" s="92"/>
      <c r="C5" s="92"/>
      <c r="D5" s="92"/>
      <c r="E5" s="92"/>
      <c r="F5" s="92"/>
      <c r="G5" s="92"/>
      <c r="H5" s="92"/>
      <c r="I5" s="92"/>
    </row>
    <row r="6" spans="1:9" ht="51" customHeight="1" x14ac:dyDescent="0.2">
      <c r="A6" s="210" t="s">
        <v>102</v>
      </c>
      <c r="B6" s="210"/>
      <c r="C6" s="210"/>
      <c r="D6" s="189" t="s">
        <v>87</v>
      </c>
      <c r="E6" s="189"/>
      <c r="F6" s="189"/>
      <c r="G6" s="189"/>
      <c r="H6" s="189"/>
      <c r="I6" s="189"/>
    </row>
    <row r="7" spans="1:9" ht="3.75" customHeight="1" x14ac:dyDescent="0.2">
      <c r="D7" s="59"/>
      <c r="E7" s="59"/>
      <c r="F7" s="59"/>
      <c r="G7" s="59"/>
    </row>
    <row r="8" spans="1:9" ht="66" customHeight="1" x14ac:dyDescent="0.2">
      <c r="A8" s="189" t="s">
        <v>103</v>
      </c>
      <c r="B8" s="189"/>
      <c r="C8" s="189"/>
      <c r="D8" s="196" t="s">
        <v>89</v>
      </c>
      <c r="E8" s="196"/>
      <c r="F8" s="196"/>
      <c r="G8" s="196"/>
      <c r="H8" s="196"/>
      <c r="I8" s="196"/>
    </row>
    <row r="9" spans="1:9" ht="3.95" customHeight="1" x14ac:dyDescent="0.2">
      <c r="A9" s="94"/>
      <c r="B9" s="94"/>
      <c r="C9" s="94"/>
    </row>
    <row r="10" spans="1:9" ht="41.25" customHeight="1" x14ac:dyDescent="0.2">
      <c r="A10" s="189" t="s">
        <v>105</v>
      </c>
      <c r="B10" s="189"/>
      <c r="C10" s="189"/>
      <c r="D10" s="189"/>
      <c r="E10" s="189"/>
      <c r="F10" s="189"/>
      <c r="G10" s="189"/>
      <c r="H10" s="189"/>
      <c r="I10" s="189"/>
    </row>
    <row r="11" spans="1:9" ht="3.95" customHeight="1" x14ac:dyDescent="0.2"/>
    <row r="12" spans="1:9" ht="30" customHeight="1" x14ac:dyDescent="0.2">
      <c r="A12" s="189" t="s">
        <v>106</v>
      </c>
      <c r="B12" s="189"/>
      <c r="C12" s="189"/>
      <c r="D12" s="189"/>
      <c r="E12" s="189"/>
      <c r="F12" s="189"/>
      <c r="G12" s="189"/>
      <c r="H12" s="189"/>
      <c r="I12" s="189"/>
    </row>
    <row r="13" spans="1:9" ht="3.75" customHeight="1" x14ac:dyDescent="0.2">
      <c r="A13" s="94"/>
      <c r="B13" s="94"/>
      <c r="C13" s="94"/>
      <c r="D13" s="63"/>
      <c r="E13" s="63"/>
      <c r="F13" s="63"/>
      <c r="G13" s="63"/>
      <c r="H13" s="94"/>
      <c r="I13" s="94"/>
    </row>
    <row r="14" spans="1:9" ht="12.75" customHeight="1" x14ac:dyDescent="0.2">
      <c r="A14" s="198" t="s">
        <v>218</v>
      </c>
      <c r="B14" s="198"/>
      <c r="C14" s="198"/>
      <c r="D14" s="198"/>
      <c r="E14" s="198"/>
      <c r="F14" s="198"/>
      <c r="G14" s="198"/>
      <c r="H14" s="198"/>
      <c r="I14" s="198"/>
    </row>
    <row r="15" spans="1:9" ht="100.5" customHeight="1" x14ac:dyDescent="0.2">
      <c r="A15" s="137" t="s">
        <v>108</v>
      </c>
      <c r="B15" s="222" t="s">
        <v>109</v>
      </c>
      <c r="C15" s="223"/>
      <c r="D15" s="222" t="s">
        <v>110</v>
      </c>
      <c r="E15" s="224"/>
      <c r="F15" s="224"/>
      <c r="G15" s="223"/>
      <c r="H15" s="138" t="s">
        <v>113</v>
      </c>
      <c r="I15" s="137" t="s">
        <v>114</v>
      </c>
    </row>
    <row r="16" spans="1:9" x14ac:dyDescent="0.2">
      <c r="A16" s="128" t="s">
        <v>6</v>
      </c>
      <c r="B16" s="255">
        <v>2</v>
      </c>
      <c r="C16" s="226"/>
      <c r="D16" s="255">
        <v>3</v>
      </c>
      <c r="E16" s="227"/>
      <c r="F16" s="227"/>
      <c r="G16" s="226"/>
      <c r="H16" s="129">
        <v>4</v>
      </c>
      <c r="I16" s="129">
        <v>5</v>
      </c>
    </row>
    <row r="17" spans="1:9" ht="51" customHeight="1" x14ac:dyDescent="0.2">
      <c r="A17" s="65" t="s">
        <v>6</v>
      </c>
      <c r="B17" s="228" t="s">
        <v>115</v>
      </c>
      <c r="C17" s="229"/>
      <c r="D17" s="228" t="s">
        <v>89</v>
      </c>
      <c r="E17" s="230"/>
      <c r="F17" s="230"/>
      <c r="G17" s="229"/>
      <c r="H17" s="66"/>
      <c r="I17" s="67"/>
    </row>
    <row r="18" spans="1:9" ht="183.6" customHeight="1" x14ac:dyDescent="0.2">
      <c r="A18" s="85" t="s">
        <v>117</v>
      </c>
      <c r="B18" s="211" t="s">
        <v>219</v>
      </c>
      <c r="C18" s="212"/>
      <c r="D18" s="213" t="s">
        <v>220</v>
      </c>
      <c r="E18" s="214"/>
      <c r="F18" s="214"/>
      <c r="G18" s="215"/>
      <c r="H18" s="87" t="s">
        <v>763</v>
      </c>
      <c r="I18" s="88">
        <f>ROUND(77.61 * 1 * 540 * 1 * 1.2 * 0.15,2)</f>
        <v>7543.69</v>
      </c>
    </row>
    <row r="19" spans="1:9" ht="15.75" customHeight="1" x14ac:dyDescent="0.2">
      <c r="A19" s="71" t="s">
        <v>129</v>
      </c>
      <c r="B19" s="216" t="s">
        <v>130</v>
      </c>
      <c r="C19" s="217"/>
      <c r="D19" s="216"/>
      <c r="E19" s="218"/>
      <c r="F19" s="218"/>
      <c r="G19" s="217"/>
      <c r="H19" s="72"/>
      <c r="I19" s="73"/>
    </row>
    <row r="20" spans="1:9" ht="12.75" customHeight="1" x14ac:dyDescent="0.2">
      <c r="A20" s="74" t="s">
        <v>129</v>
      </c>
      <c r="B20" s="219" t="s">
        <v>176</v>
      </c>
      <c r="C20" s="220"/>
      <c r="D20" s="219" t="s">
        <v>358</v>
      </c>
      <c r="E20" s="221"/>
      <c r="F20" s="221"/>
      <c r="G20" s="220"/>
      <c r="H20" s="75"/>
      <c r="I20" s="76"/>
    </row>
    <row r="21" spans="1:9" ht="89.25" customHeight="1" x14ac:dyDescent="0.2">
      <c r="A21" s="74" t="s">
        <v>129</v>
      </c>
      <c r="B21" s="219" t="s">
        <v>135</v>
      </c>
      <c r="C21" s="220"/>
      <c r="D21" s="219" t="s">
        <v>144</v>
      </c>
      <c r="E21" s="221"/>
      <c r="F21" s="221"/>
      <c r="G21" s="220"/>
      <c r="H21" s="75"/>
      <c r="I21" s="76"/>
    </row>
    <row r="22" spans="1:9" ht="114.75" customHeight="1" x14ac:dyDescent="0.2">
      <c r="A22" s="96" t="s">
        <v>129</v>
      </c>
      <c r="B22" s="231" t="s">
        <v>574</v>
      </c>
      <c r="C22" s="232"/>
      <c r="D22" s="231" t="s">
        <v>575</v>
      </c>
      <c r="E22" s="256"/>
      <c r="F22" s="256"/>
      <c r="G22" s="232"/>
      <c r="H22" s="97"/>
      <c r="I22" s="80"/>
    </row>
    <row r="23" spans="1:9" ht="196.35" customHeight="1" x14ac:dyDescent="0.2">
      <c r="A23" s="90" t="s">
        <v>121</v>
      </c>
      <c r="B23" s="236" t="s">
        <v>764</v>
      </c>
      <c r="C23" s="237"/>
      <c r="D23" s="238" t="s">
        <v>765</v>
      </c>
      <c r="E23" s="189"/>
      <c r="F23" s="189"/>
      <c r="G23" s="239"/>
      <c r="H23" s="81" t="s">
        <v>766</v>
      </c>
      <c r="I23" s="82">
        <f>ROUND(57.68 * 1 * 540 * 1,2)</f>
        <v>31147.200000000001</v>
      </c>
    </row>
    <row r="24" spans="1:9" ht="15.75" customHeight="1" x14ac:dyDescent="0.2">
      <c r="A24" s="71" t="s">
        <v>129</v>
      </c>
      <c r="B24" s="216" t="s">
        <v>130</v>
      </c>
      <c r="C24" s="217"/>
      <c r="D24" s="216"/>
      <c r="E24" s="218"/>
      <c r="F24" s="218"/>
      <c r="G24" s="217"/>
      <c r="H24" s="72"/>
      <c r="I24" s="73"/>
    </row>
    <row r="25" spans="1:9" ht="12.75" customHeight="1" x14ac:dyDescent="0.2">
      <c r="A25" s="96" t="s">
        <v>129</v>
      </c>
      <c r="B25" s="231" t="s">
        <v>176</v>
      </c>
      <c r="C25" s="232"/>
      <c r="D25" s="231" t="s">
        <v>358</v>
      </c>
      <c r="E25" s="256"/>
      <c r="F25" s="256"/>
      <c r="G25" s="232"/>
      <c r="H25" s="97"/>
      <c r="I25" s="80"/>
    </row>
    <row r="26" spans="1:9" ht="145.35" customHeight="1" x14ac:dyDescent="0.2">
      <c r="A26" s="90" t="s">
        <v>123</v>
      </c>
      <c r="B26" s="236" t="s">
        <v>140</v>
      </c>
      <c r="C26" s="237"/>
      <c r="D26" s="238" t="s">
        <v>767</v>
      </c>
      <c r="E26" s="189"/>
      <c r="F26" s="189"/>
      <c r="G26" s="239"/>
      <c r="H26" s="81" t="s">
        <v>768</v>
      </c>
      <c r="I26" s="82">
        <f>ROUND(0.167 * 24 * 540 * 1,2)</f>
        <v>2164.3200000000002</v>
      </c>
    </row>
    <row r="27" spans="1:9" ht="15.75" customHeight="1" x14ac:dyDescent="0.2">
      <c r="A27" s="71" t="s">
        <v>129</v>
      </c>
      <c r="B27" s="216" t="s">
        <v>130</v>
      </c>
      <c r="C27" s="217"/>
      <c r="D27" s="216"/>
      <c r="E27" s="218"/>
      <c r="F27" s="218"/>
      <c r="G27" s="217"/>
      <c r="H27" s="72"/>
      <c r="I27" s="73"/>
    </row>
    <row r="28" spans="1:9" ht="12.75" customHeight="1" x14ac:dyDescent="0.2">
      <c r="A28" s="96" t="s">
        <v>129</v>
      </c>
      <c r="B28" s="231" t="s">
        <v>176</v>
      </c>
      <c r="C28" s="232"/>
      <c r="D28" s="231" t="s">
        <v>358</v>
      </c>
      <c r="E28" s="256"/>
      <c r="F28" s="256"/>
      <c r="G28" s="232"/>
      <c r="H28" s="97"/>
      <c r="I28" s="80"/>
    </row>
    <row r="29" spans="1:9" ht="196.35" customHeight="1" x14ac:dyDescent="0.2">
      <c r="A29" s="90" t="s">
        <v>230</v>
      </c>
      <c r="B29" s="236" t="s">
        <v>769</v>
      </c>
      <c r="C29" s="237"/>
      <c r="D29" s="238" t="s">
        <v>770</v>
      </c>
      <c r="E29" s="189"/>
      <c r="F29" s="189"/>
      <c r="G29" s="239"/>
      <c r="H29" s="81" t="s">
        <v>771</v>
      </c>
      <c r="I29" s="82">
        <f>ROUND(83.25 * 1 * 540 * 1 * 1.2,2)</f>
        <v>53946</v>
      </c>
    </row>
    <row r="30" spans="1:9" ht="15.75" customHeight="1" x14ac:dyDescent="0.2">
      <c r="A30" s="71" t="s">
        <v>129</v>
      </c>
      <c r="B30" s="216" t="s">
        <v>130</v>
      </c>
      <c r="C30" s="217"/>
      <c r="D30" s="216"/>
      <c r="E30" s="218"/>
      <c r="F30" s="218"/>
      <c r="G30" s="217"/>
      <c r="H30" s="72"/>
      <c r="I30" s="73"/>
    </row>
    <row r="31" spans="1:9" ht="12.75" customHeight="1" x14ac:dyDescent="0.2">
      <c r="A31" s="74" t="s">
        <v>129</v>
      </c>
      <c r="B31" s="219" t="s">
        <v>176</v>
      </c>
      <c r="C31" s="220"/>
      <c r="D31" s="219" t="s">
        <v>358</v>
      </c>
      <c r="E31" s="221"/>
      <c r="F31" s="221"/>
      <c r="G31" s="220"/>
      <c r="H31" s="75"/>
      <c r="I31" s="76"/>
    </row>
    <row r="32" spans="1:9" ht="89.25" customHeight="1" x14ac:dyDescent="0.2">
      <c r="A32" s="96" t="s">
        <v>129</v>
      </c>
      <c r="B32" s="231" t="s">
        <v>135</v>
      </c>
      <c r="C32" s="232"/>
      <c r="D32" s="231" t="s">
        <v>144</v>
      </c>
      <c r="E32" s="256"/>
      <c r="F32" s="256"/>
      <c r="G32" s="232"/>
      <c r="H32" s="97"/>
      <c r="I32" s="80"/>
    </row>
    <row r="33" spans="1:9" ht="63.75" customHeight="1" x14ac:dyDescent="0.2">
      <c r="A33" s="96" t="s">
        <v>365</v>
      </c>
      <c r="B33" s="243" t="s">
        <v>772</v>
      </c>
      <c r="C33" s="244"/>
      <c r="D33" s="243"/>
      <c r="E33" s="245"/>
      <c r="F33" s="245"/>
      <c r="G33" s="244"/>
      <c r="H33" s="83"/>
      <c r="I33" s="84">
        <f>ROUND((SUM($I$18:$I$29)),2)</f>
        <v>94801.21</v>
      </c>
    </row>
    <row r="34" spans="1:9" ht="63.75" customHeight="1" x14ac:dyDescent="0.2">
      <c r="A34" s="65" t="s">
        <v>367</v>
      </c>
      <c r="B34" s="228" t="s">
        <v>773</v>
      </c>
      <c r="C34" s="229"/>
      <c r="D34" s="228"/>
      <c r="E34" s="230"/>
      <c r="F34" s="230"/>
      <c r="G34" s="229"/>
      <c r="H34" s="66"/>
      <c r="I34" s="70">
        <f>ROUND(($I$33),2)</f>
        <v>94801.21</v>
      </c>
    </row>
    <row r="35" spans="1:9" ht="12.75" customHeight="1" x14ac:dyDescent="0.2">
      <c r="A35" s="65" t="s">
        <v>7</v>
      </c>
      <c r="B35" s="228" t="s">
        <v>213</v>
      </c>
      <c r="C35" s="229"/>
      <c r="D35" s="228"/>
      <c r="E35" s="230"/>
      <c r="F35" s="230"/>
      <c r="G35" s="229"/>
      <c r="H35" s="66"/>
      <c r="I35" s="70">
        <f>ROUND(($I$34),2)</f>
        <v>94801.21</v>
      </c>
    </row>
    <row r="36" spans="1:9" ht="38.25" customHeight="1" x14ac:dyDescent="0.2">
      <c r="A36" s="65" t="s">
        <v>23</v>
      </c>
      <c r="B36" s="246" t="s">
        <v>774</v>
      </c>
      <c r="C36" s="247"/>
      <c r="D36" s="246" t="s">
        <v>775</v>
      </c>
      <c r="E36" s="248"/>
      <c r="F36" s="248"/>
      <c r="G36" s="247"/>
      <c r="H36" s="68" t="s">
        <v>776</v>
      </c>
      <c r="I36" s="69">
        <f>ROUND(($I$35) * 4 * 1,2)</f>
        <v>379204.84</v>
      </c>
    </row>
    <row r="37" spans="1:9" ht="12.75" customHeight="1" x14ac:dyDescent="0.2">
      <c r="A37" s="65" t="s">
        <v>24</v>
      </c>
      <c r="B37" s="228" t="s">
        <v>214</v>
      </c>
      <c r="C37" s="229"/>
      <c r="D37" s="228"/>
      <c r="E37" s="230"/>
      <c r="F37" s="230"/>
      <c r="G37" s="229"/>
      <c r="H37" s="66"/>
      <c r="I37" s="70">
        <f>ROUND(($I$36),2)</f>
        <v>379204.84</v>
      </c>
    </row>
    <row r="38" spans="1:9" ht="12.75" customHeight="1" x14ac:dyDescent="0.2"/>
    <row r="39" spans="1:9" s="93" customFormat="1" ht="24.95" customHeight="1" x14ac:dyDescent="0.25">
      <c r="A39" s="189" t="s">
        <v>215</v>
      </c>
      <c r="B39" s="189"/>
      <c r="C39" s="189"/>
      <c r="D39" s="189"/>
      <c r="E39" s="189"/>
      <c r="F39" s="189"/>
      <c r="G39" s="189"/>
      <c r="H39" s="189"/>
      <c r="I39" s="189"/>
    </row>
    <row r="40" spans="1:9" ht="12.75" customHeight="1" x14ac:dyDescent="0.2">
      <c r="D40" s="95"/>
    </row>
  </sheetData>
  <mergeCells count="61">
    <mergeCell ref="B36:C36"/>
    <mergeCell ref="D36:G36"/>
    <mergeCell ref="B37:C37"/>
    <mergeCell ref="D37:G37"/>
    <mergeCell ref="A39:C39"/>
    <mergeCell ref="D39:I39"/>
    <mergeCell ref="B33:C33"/>
    <mergeCell ref="D33:G33"/>
    <mergeCell ref="B34:C34"/>
    <mergeCell ref="D34:G34"/>
    <mergeCell ref="B35:C35"/>
    <mergeCell ref="D35:G35"/>
    <mergeCell ref="B30:C30"/>
    <mergeCell ref="D30:G30"/>
    <mergeCell ref="B31:C31"/>
    <mergeCell ref="D31:G31"/>
    <mergeCell ref="B32:C32"/>
    <mergeCell ref="D32:G32"/>
    <mergeCell ref="B27:C27"/>
    <mergeCell ref="D27:G27"/>
    <mergeCell ref="B28:C28"/>
    <mergeCell ref="D28:G28"/>
    <mergeCell ref="B29:C29"/>
    <mergeCell ref="D29:G29"/>
    <mergeCell ref="B24:C24"/>
    <mergeCell ref="D24:G24"/>
    <mergeCell ref="B25:C25"/>
    <mergeCell ref="D25:G25"/>
    <mergeCell ref="B26:C26"/>
    <mergeCell ref="D26:G26"/>
    <mergeCell ref="B21:C21"/>
    <mergeCell ref="D21:G21"/>
    <mergeCell ref="B22:C22"/>
    <mergeCell ref="D22:G22"/>
    <mergeCell ref="B23:C23"/>
    <mergeCell ref="D23:G23"/>
    <mergeCell ref="B18:C18"/>
    <mergeCell ref="D18:G18"/>
    <mergeCell ref="B19:C19"/>
    <mergeCell ref="D19:G19"/>
    <mergeCell ref="B20:C20"/>
    <mergeCell ref="D20:G20"/>
    <mergeCell ref="B17:C17"/>
    <mergeCell ref="D17:G17"/>
    <mergeCell ref="A8:C8"/>
    <mergeCell ref="D8:I8"/>
    <mergeCell ref="A10:C10"/>
    <mergeCell ref="D10:I10"/>
    <mergeCell ref="A12:C12"/>
    <mergeCell ref="D12:I12"/>
    <mergeCell ref="A14:I14"/>
    <mergeCell ref="B15:C15"/>
    <mergeCell ref="D15:G15"/>
    <mergeCell ref="B16:C16"/>
    <mergeCell ref="D16:G16"/>
    <mergeCell ref="A1:C1"/>
    <mergeCell ref="D1:I1"/>
    <mergeCell ref="A3:I3"/>
    <mergeCell ref="A4:I4"/>
    <mergeCell ref="A6:C6"/>
    <mergeCell ref="D6:I6"/>
  </mergeCells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DA927-06ED-4A2D-B4E8-D71CDD92E9D3}">
  <dimension ref="A1:I34"/>
  <sheetViews>
    <sheetView topLeftCell="A28" workbookViewId="0">
      <selection activeCell="D33" sqref="D33:I33"/>
    </sheetView>
  </sheetViews>
  <sheetFormatPr defaultColWidth="11.5703125" defaultRowHeight="12.75" x14ac:dyDescent="0.2"/>
  <cols>
    <col min="1" max="1" width="3.7109375" style="107" customWidth="1"/>
    <col min="2" max="2" width="10.7109375" style="107" customWidth="1"/>
    <col min="3" max="3" width="15.5703125" style="107" customWidth="1"/>
    <col min="4" max="4" width="4.42578125" style="107" customWidth="1"/>
    <col min="5" max="7" width="9.28515625" style="107" customWidth="1"/>
    <col min="8" max="8" width="19.7109375" style="107" customWidth="1"/>
    <col min="9" max="9" width="14.7109375" style="107" customWidth="1"/>
    <col min="10" max="10" width="19.7109375" style="58" customWidth="1"/>
    <col min="11" max="16384" width="11.5703125" style="58"/>
  </cols>
  <sheetData>
    <row r="1" spans="1:9" ht="25.5" customHeight="1" x14ac:dyDescent="0.2">
      <c r="A1" s="208" t="s">
        <v>99</v>
      </c>
      <c r="B1" s="208"/>
      <c r="C1" s="208"/>
      <c r="D1" s="192" t="s">
        <v>911</v>
      </c>
      <c r="E1" s="192"/>
      <c r="F1" s="192"/>
      <c r="G1" s="192"/>
      <c r="H1" s="192"/>
      <c r="I1" s="192"/>
    </row>
    <row r="2" spans="1:9" x14ac:dyDescent="0.2">
      <c r="A2" s="59"/>
      <c r="B2" s="59"/>
      <c r="C2" s="59"/>
      <c r="D2" s="60"/>
      <c r="E2" s="60"/>
      <c r="F2" s="60"/>
      <c r="G2" s="60"/>
      <c r="H2" s="60"/>
      <c r="I2" s="60"/>
    </row>
    <row r="3" spans="1:9" x14ac:dyDescent="0.2">
      <c r="A3" s="193" t="s">
        <v>835</v>
      </c>
      <c r="B3" s="193"/>
      <c r="C3" s="193"/>
      <c r="D3" s="193"/>
      <c r="E3" s="193"/>
      <c r="F3" s="193"/>
      <c r="G3" s="193"/>
      <c r="H3" s="193"/>
      <c r="I3" s="193"/>
    </row>
    <row r="4" spans="1:9" x14ac:dyDescent="0.2">
      <c r="A4" s="209" t="s">
        <v>101</v>
      </c>
      <c r="B4" s="209"/>
      <c r="C4" s="209"/>
      <c r="D4" s="209"/>
      <c r="E4" s="209"/>
      <c r="F4" s="209"/>
      <c r="G4" s="209"/>
      <c r="H4" s="209"/>
      <c r="I4" s="209"/>
    </row>
    <row r="5" spans="1:9" x14ac:dyDescent="0.2">
      <c r="A5" s="92"/>
      <c r="B5" s="92"/>
      <c r="C5" s="92"/>
      <c r="D5" s="92"/>
      <c r="E5" s="92"/>
      <c r="F5" s="92"/>
      <c r="G5" s="92"/>
      <c r="H5" s="92"/>
      <c r="I5" s="92"/>
    </row>
    <row r="6" spans="1:9" ht="51" customHeight="1" x14ac:dyDescent="0.2">
      <c r="A6" s="210" t="s">
        <v>102</v>
      </c>
      <c r="B6" s="210"/>
      <c r="C6" s="210"/>
      <c r="D6" s="189" t="s">
        <v>87</v>
      </c>
      <c r="E6" s="189"/>
      <c r="F6" s="189"/>
      <c r="G6" s="189"/>
      <c r="H6" s="189"/>
      <c r="I6" s="189"/>
    </row>
    <row r="7" spans="1:9" ht="3.75" customHeight="1" x14ac:dyDescent="0.2">
      <c r="D7" s="59"/>
      <c r="E7" s="59"/>
      <c r="F7" s="59"/>
      <c r="G7" s="59"/>
    </row>
    <row r="8" spans="1:9" ht="66" customHeight="1" x14ac:dyDescent="0.2">
      <c r="A8" s="189" t="s">
        <v>103</v>
      </c>
      <c r="B8" s="189"/>
      <c r="C8" s="189"/>
      <c r="D8" s="196" t="s">
        <v>806</v>
      </c>
      <c r="E8" s="196"/>
      <c r="F8" s="196"/>
      <c r="G8" s="196"/>
      <c r="H8" s="196"/>
      <c r="I8" s="196"/>
    </row>
    <row r="9" spans="1:9" ht="3.95" customHeight="1" x14ac:dyDescent="0.2">
      <c r="A9" s="94"/>
      <c r="B9" s="94"/>
      <c r="C9" s="94"/>
    </row>
    <row r="10" spans="1:9" ht="41.25" customHeight="1" x14ac:dyDescent="0.2">
      <c r="A10" s="189" t="s">
        <v>105</v>
      </c>
      <c r="B10" s="189"/>
      <c r="C10" s="189"/>
      <c r="D10" s="189"/>
      <c r="E10" s="189"/>
      <c r="F10" s="189"/>
      <c r="G10" s="189"/>
      <c r="H10" s="189"/>
      <c r="I10" s="189"/>
    </row>
    <row r="11" spans="1:9" ht="3.95" customHeight="1" x14ac:dyDescent="0.2"/>
    <row r="12" spans="1:9" ht="30" customHeight="1" x14ac:dyDescent="0.2">
      <c r="A12" s="189" t="s">
        <v>106</v>
      </c>
      <c r="B12" s="189"/>
      <c r="C12" s="189"/>
      <c r="D12" s="189"/>
      <c r="E12" s="189"/>
      <c r="F12" s="189"/>
      <c r="G12" s="189"/>
      <c r="H12" s="189"/>
      <c r="I12" s="189"/>
    </row>
    <row r="13" spans="1:9" ht="3.75" customHeight="1" x14ac:dyDescent="0.2">
      <c r="A13" s="94"/>
      <c r="B13" s="94"/>
      <c r="C13" s="94"/>
      <c r="D13" s="63"/>
      <c r="E13" s="63"/>
      <c r="F13" s="63"/>
      <c r="G13" s="63"/>
      <c r="H13" s="94"/>
      <c r="I13" s="94"/>
    </row>
    <row r="14" spans="1:9" ht="12.75" customHeight="1" x14ac:dyDescent="0.2">
      <c r="A14" s="198" t="s">
        <v>218</v>
      </c>
      <c r="B14" s="198"/>
      <c r="C14" s="198"/>
      <c r="D14" s="198"/>
      <c r="E14" s="198"/>
      <c r="F14" s="198"/>
      <c r="G14" s="198"/>
      <c r="H14" s="198"/>
      <c r="I14" s="198"/>
    </row>
    <row r="15" spans="1:9" ht="100.5" customHeight="1" x14ac:dyDescent="0.2">
      <c r="A15" s="137" t="s">
        <v>108</v>
      </c>
      <c r="B15" s="222" t="s">
        <v>109</v>
      </c>
      <c r="C15" s="223"/>
      <c r="D15" s="222" t="s">
        <v>110</v>
      </c>
      <c r="E15" s="224"/>
      <c r="F15" s="224"/>
      <c r="G15" s="223"/>
      <c r="H15" s="138" t="s">
        <v>113</v>
      </c>
      <c r="I15" s="137" t="s">
        <v>114</v>
      </c>
    </row>
    <row r="16" spans="1:9" x14ac:dyDescent="0.2">
      <c r="A16" s="128" t="s">
        <v>6</v>
      </c>
      <c r="B16" s="255">
        <v>2</v>
      </c>
      <c r="C16" s="226"/>
      <c r="D16" s="255">
        <v>3</v>
      </c>
      <c r="E16" s="227"/>
      <c r="F16" s="227"/>
      <c r="G16" s="226"/>
      <c r="H16" s="129">
        <v>4</v>
      </c>
      <c r="I16" s="129">
        <v>5</v>
      </c>
    </row>
    <row r="17" spans="1:9" ht="25.5" customHeight="1" x14ac:dyDescent="0.2">
      <c r="A17" s="65" t="s">
        <v>6</v>
      </c>
      <c r="B17" s="228" t="s">
        <v>115</v>
      </c>
      <c r="C17" s="229"/>
      <c r="D17" s="228" t="s">
        <v>793</v>
      </c>
      <c r="E17" s="230"/>
      <c r="F17" s="230"/>
      <c r="G17" s="229"/>
      <c r="H17" s="66"/>
      <c r="I17" s="67"/>
    </row>
    <row r="18" spans="1:9" ht="38.25" customHeight="1" x14ac:dyDescent="0.2">
      <c r="A18" s="65" t="s">
        <v>117</v>
      </c>
      <c r="B18" s="246" t="s">
        <v>794</v>
      </c>
      <c r="C18" s="247"/>
      <c r="D18" s="246" t="s">
        <v>795</v>
      </c>
      <c r="E18" s="248"/>
      <c r="F18" s="248"/>
      <c r="G18" s="247"/>
      <c r="H18" s="68" t="s">
        <v>807</v>
      </c>
      <c r="I18" s="69">
        <v>16200</v>
      </c>
    </row>
    <row r="19" spans="1:9" ht="196.35" customHeight="1" x14ac:dyDescent="0.2">
      <c r="A19" s="85" t="s">
        <v>121</v>
      </c>
      <c r="B19" s="211" t="s">
        <v>299</v>
      </c>
      <c r="C19" s="212"/>
      <c r="D19" s="213" t="s">
        <v>808</v>
      </c>
      <c r="E19" s="214"/>
      <c r="F19" s="214"/>
      <c r="G19" s="215"/>
      <c r="H19" s="87" t="s">
        <v>809</v>
      </c>
      <c r="I19" s="88">
        <f>ROUND(39.12 * 1 * 540 * 1 * 1.2,2)</f>
        <v>25349.759999999998</v>
      </c>
    </row>
    <row r="20" spans="1:9" ht="15.75" customHeight="1" x14ac:dyDescent="0.2">
      <c r="A20" s="71" t="s">
        <v>129</v>
      </c>
      <c r="B20" s="216" t="s">
        <v>130</v>
      </c>
      <c r="C20" s="217"/>
      <c r="D20" s="216"/>
      <c r="E20" s="218"/>
      <c r="F20" s="218"/>
      <c r="G20" s="217"/>
      <c r="H20" s="72"/>
      <c r="I20" s="73"/>
    </row>
    <row r="21" spans="1:9" ht="12.75" customHeight="1" x14ac:dyDescent="0.2">
      <c r="A21" s="74" t="s">
        <v>129</v>
      </c>
      <c r="B21" s="219" t="s">
        <v>176</v>
      </c>
      <c r="C21" s="220"/>
      <c r="D21" s="219" t="s">
        <v>358</v>
      </c>
      <c r="E21" s="221"/>
      <c r="F21" s="221"/>
      <c r="G21" s="220"/>
      <c r="H21" s="75"/>
      <c r="I21" s="76"/>
    </row>
    <row r="22" spans="1:9" ht="89.25" customHeight="1" x14ac:dyDescent="0.2">
      <c r="A22" s="96" t="s">
        <v>129</v>
      </c>
      <c r="B22" s="231" t="s">
        <v>135</v>
      </c>
      <c r="C22" s="232"/>
      <c r="D22" s="231" t="s">
        <v>144</v>
      </c>
      <c r="E22" s="256"/>
      <c r="F22" s="256"/>
      <c r="G22" s="232"/>
      <c r="H22" s="97"/>
      <c r="I22" s="80"/>
    </row>
    <row r="23" spans="1:9" ht="196.35" customHeight="1" x14ac:dyDescent="0.2">
      <c r="A23" s="90" t="s">
        <v>123</v>
      </c>
      <c r="B23" s="236" t="s">
        <v>283</v>
      </c>
      <c r="C23" s="237"/>
      <c r="D23" s="238" t="s">
        <v>605</v>
      </c>
      <c r="E23" s="189"/>
      <c r="F23" s="189"/>
      <c r="G23" s="239"/>
      <c r="H23" s="81" t="s">
        <v>810</v>
      </c>
      <c r="I23" s="82">
        <f>ROUND(53.28 * 1 * 540 * 1 * 1.2,2)</f>
        <v>34525.440000000002</v>
      </c>
    </row>
    <row r="24" spans="1:9" ht="15.75" customHeight="1" x14ac:dyDescent="0.2">
      <c r="A24" s="71" t="s">
        <v>129</v>
      </c>
      <c r="B24" s="216" t="s">
        <v>130</v>
      </c>
      <c r="C24" s="217"/>
      <c r="D24" s="216"/>
      <c r="E24" s="218"/>
      <c r="F24" s="218"/>
      <c r="G24" s="217"/>
      <c r="H24" s="72"/>
      <c r="I24" s="73"/>
    </row>
    <row r="25" spans="1:9" ht="12.75" customHeight="1" x14ac:dyDescent="0.2">
      <c r="A25" s="74" t="s">
        <v>129</v>
      </c>
      <c r="B25" s="219" t="s">
        <v>176</v>
      </c>
      <c r="C25" s="220"/>
      <c r="D25" s="219" t="s">
        <v>358</v>
      </c>
      <c r="E25" s="221"/>
      <c r="F25" s="221"/>
      <c r="G25" s="220"/>
      <c r="H25" s="75"/>
      <c r="I25" s="76"/>
    </row>
    <row r="26" spans="1:9" ht="89.25" customHeight="1" x14ac:dyDescent="0.2">
      <c r="A26" s="96" t="s">
        <v>129</v>
      </c>
      <c r="B26" s="231" t="s">
        <v>135</v>
      </c>
      <c r="C26" s="232"/>
      <c r="D26" s="231" t="s">
        <v>144</v>
      </c>
      <c r="E26" s="256"/>
      <c r="F26" s="256"/>
      <c r="G26" s="232"/>
      <c r="H26" s="97"/>
      <c r="I26" s="80"/>
    </row>
    <row r="27" spans="1:9" ht="38.25" customHeight="1" x14ac:dyDescent="0.2">
      <c r="A27" s="96" t="s">
        <v>230</v>
      </c>
      <c r="B27" s="243" t="s">
        <v>802</v>
      </c>
      <c r="C27" s="244"/>
      <c r="D27" s="243"/>
      <c r="E27" s="245"/>
      <c r="F27" s="245"/>
      <c r="G27" s="244"/>
      <c r="H27" s="83"/>
      <c r="I27" s="84">
        <f>ROUND((SUM($I$18:$I$23)),2)</f>
        <v>76075.199999999997</v>
      </c>
    </row>
    <row r="28" spans="1:9" ht="38.25" customHeight="1" x14ac:dyDescent="0.2">
      <c r="A28" s="65" t="s">
        <v>365</v>
      </c>
      <c r="B28" s="228" t="s">
        <v>803</v>
      </c>
      <c r="C28" s="229"/>
      <c r="D28" s="228"/>
      <c r="E28" s="230"/>
      <c r="F28" s="230"/>
      <c r="G28" s="229"/>
      <c r="H28" s="66"/>
      <c r="I28" s="70">
        <f>ROUND(($I$27),2)</f>
        <v>76075.199999999997</v>
      </c>
    </row>
    <row r="29" spans="1:9" ht="12.75" customHeight="1" x14ac:dyDescent="0.2">
      <c r="A29" s="65" t="s">
        <v>7</v>
      </c>
      <c r="B29" s="228" t="s">
        <v>213</v>
      </c>
      <c r="C29" s="229"/>
      <c r="D29" s="228"/>
      <c r="E29" s="230"/>
      <c r="F29" s="230"/>
      <c r="G29" s="229"/>
      <c r="H29" s="66"/>
      <c r="I29" s="70">
        <f>ROUND(($I$28),2)</f>
        <v>76075.199999999997</v>
      </c>
    </row>
    <row r="30" spans="1:9" ht="38.25" customHeight="1" x14ac:dyDescent="0.2">
      <c r="A30" s="65" t="s">
        <v>23</v>
      </c>
      <c r="B30" s="246" t="s">
        <v>774</v>
      </c>
      <c r="C30" s="247"/>
      <c r="D30" s="246" t="s">
        <v>775</v>
      </c>
      <c r="E30" s="248"/>
      <c r="F30" s="248"/>
      <c r="G30" s="247"/>
      <c r="H30" s="68" t="s">
        <v>776</v>
      </c>
      <c r="I30" s="69">
        <f>ROUND(($I$29) * 4 * 1,2)</f>
        <v>304300.79999999999</v>
      </c>
    </row>
    <row r="31" spans="1:9" ht="12.75" customHeight="1" x14ac:dyDescent="0.2">
      <c r="A31" s="65" t="s">
        <v>24</v>
      </c>
      <c r="B31" s="228" t="s">
        <v>214</v>
      </c>
      <c r="C31" s="229"/>
      <c r="D31" s="228"/>
      <c r="E31" s="230"/>
      <c r="F31" s="230"/>
      <c r="G31" s="229"/>
      <c r="H31" s="66"/>
      <c r="I31" s="70">
        <f>ROUND(($I$30),2)</f>
        <v>304300.79999999999</v>
      </c>
    </row>
    <row r="32" spans="1:9" ht="12.75" customHeight="1" x14ac:dyDescent="0.2"/>
    <row r="33" spans="1:9" s="93" customFormat="1" ht="24.95" customHeight="1" x14ac:dyDescent="0.25">
      <c r="A33" s="189" t="s">
        <v>215</v>
      </c>
      <c r="B33" s="189"/>
      <c r="C33" s="189"/>
      <c r="D33" s="189"/>
      <c r="E33" s="189"/>
      <c r="F33" s="189"/>
      <c r="G33" s="189"/>
      <c r="H33" s="189"/>
      <c r="I33" s="189"/>
    </row>
    <row r="34" spans="1:9" ht="12.75" customHeight="1" x14ac:dyDescent="0.2">
      <c r="D34" s="95"/>
    </row>
  </sheetData>
  <mergeCells count="49">
    <mergeCell ref="B30:C30"/>
    <mergeCell ref="D30:G30"/>
    <mergeCell ref="B31:C31"/>
    <mergeCell ref="D31:G31"/>
    <mergeCell ref="A33:C33"/>
    <mergeCell ref="D33:I33"/>
    <mergeCell ref="B27:C27"/>
    <mergeCell ref="D27:G27"/>
    <mergeCell ref="B28:C28"/>
    <mergeCell ref="D28:G28"/>
    <mergeCell ref="B29:C29"/>
    <mergeCell ref="D29:G29"/>
    <mergeCell ref="B24:C24"/>
    <mergeCell ref="D24:G24"/>
    <mergeCell ref="B25:C25"/>
    <mergeCell ref="D25:G25"/>
    <mergeCell ref="B26:C26"/>
    <mergeCell ref="D26:G26"/>
    <mergeCell ref="B21:C21"/>
    <mergeCell ref="D21:G21"/>
    <mergeCell ref="B22:C22"/>
    <mergeCell ref="D22:G22"/>
    <mergeCell ref="B23:C23"/>
    <mergeCell ref="D23:G23"/>
    <mergeCell ref="B18:C18"/>
    <mergeCell ref="D18:G18"/>
    <mergeCell ref="B19:C19"/>
    <mergeCell ref="D19:G19"/>
    <mergeCell ref="B20:C20"/>
    <mergeCell ref="D20:G20"/>
    <mergeCell ref="B17:C17"/>
    <mergeCell ref="D17:G17"/>
    <mergeCell ref="A8:C8"/>
    <mergeCell ref="D8:I8"/>
    <mergeCell ref="A10:C10"/>
    <mergeCell ref="D10:I10"/>
    <mergeCell ref="A12:C12"/>
    <mergeCell ref="D12:I12"/>
    <mergeCell ref="A14:I14"/>
    <mergeCell ref="B15:C15"/>
    <mergeCell ref="D15:G15"/>
    <mergeCell ref="B16:C16"/>
    <mergeCell ref="D16:G16"/>
    <mergeCell ref="A1:C1"/>
    <mergeCell ref="D1:I1"/>
    <mergeCell ref="A3:I3"/>
    <mergeCell ref="A4:I4"/>
    <mergeCell ref="A6:C6"/>
    <mergeCell ref="D6:I6"/>
  </mergeCells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E8C31-AF59-44A8-96F5-AF1318110002}">
  <dimension ref="A1:G65"/>
  <sheetViews>
    <sheetView topLeftCell="A44" workbookViewId="0">
      <selection activeCell="C63" sqref="C63:G63"/>
    </sheetView>
  </sheetViews>
  <sheetFormatPr defaultColWidth="11.5703125" defaultRowHeight="12.75" x14ac:dyDescent="0.2"/>
  <cols>
    <col min="1" max="1" width="4.7109375" style="107" customWidth="1"/>
    <col min="2" max="2" width="20.42578125" style="107" customWidth="1"/>
    <col min="3" max="3" width="13.140625" style="107" customWidth="1"/>
    <col min="4" max="4" width="12.85546875" style="107" customWidth="1"/>
    <col min="5" max="5" width="14.28515625" style="107" customWidth="1"/>
    <col min="6" max="6" width="15.28515625" style="58" customWidth="1"/>
    <col min="7" max="7" width="16.28515625" style="58" customWidth="1"/>
    <col min="8" max="16384" width="11.5703125" style="58"/>
  </cols>
  <sheetData>
    <row r="1" spans="1:7" ht="25.5" customHeight="1" x14ac:dyDescent="0.2">
      <c r="A1" s="208" t="s">
        <v>99</v>
      </c>
      <c r="B1" s="189"/>
      <c r="C1" s="257" t="s">
        <v>945</v>
      </c>
      <c r="D1" s="257"/>
      <c r="E1" s="257"/>
      <c r="F1" s="257"/>
      <c r="G1" s="257"/>
    </row>
    <row r="2" spans="1:7" x14ac:dyDescent="0.2">
      <c r="A2" s="100"/>
      <c r="B2" s="101"/>
      <c r="C2" s="102"/>
      <c r="D2" s="102"/>
      <c r="E2" s="102"/>
      <c r="F2" s="102"/>
      <c r="G2" s="102"/>
    </row>
    <row r="3" spans="1:7" x14ac:dyDescent="0.2">
      <c r="A3" s="100"/>
      <c r="B3" s="101"/>
      <c r="C3" s="102"/>
      <c r="D3" s="102"/>
      <c r="E3" s="102"/>
      <c r="F3" s="102"/>
      <c r="G3" s="102"/>
    </row>
    <row r="4" spans="1:7" x14ac:dyDescent="0.2">
      <c r="B4" s="258" t="s">
        <v>973</v>
      </c>
      <c r="C4" s="258"/>
      <c r="D4" s="258"/>
      <c r="E4" s="258"/>
      <c r="F4" s="258"/>
    </row>
    <row r="5" spans="1:7" x14ac:dyDescent="0.2">
      <c r="B5" s="259" t="s">
        <v>101</v>
      </c>
      <c r="C5" s="259" t="s">
        <v>732</v>
      </c>
      <c r="D5" s="259" t="s">
        <v>732</v>
      </c>
      <c r="E5" s="259"/>
      <c r="F5" s="259"/>
    </row>
    <row r="6" spans="1:7" x14ac:dyDescent="0.2">
      <c r="B6" s="103"/>
      <c r="C6" s="103"/>
      <c r="D6" s="103"/>
      <c r="E6" s="103"/>
      <c r="F6" s="103"/>
    </row>
    <row r="7" spans="1:7" ht="38.25" customHeight="1" x14ac:dyDescent="0.2">
      <c r="A7" s="189" t="s">
        <v>102</v>
      </c>
      <c r="B7" s="189"/>
      <c r="C7" s="189" t="s">
        <v>87</v>
      </c>
      <c r="D7" s="189"/>
      <c r="E7" s="189"/>
      <c r="F7" s="189"/>
      <c r="G7" s="189"/>
    </row>
    <row r="8" spans="1:7" x14ac:dyDescent="0.2">
      <c r="C8" s="62"/>
      <c r="D8" s="62"/>
    </row>
    <row r="9" spans="1:7" ht="40.5" customHeight="1" x14ac:dyDescent="0.2">
      <c r="A9" s="189" t="s">
        <v>103</v>
      </c>
      <c r="B9" s="189"/>
      <c r="C9" s="189"/>
      <c r="D9" s="189"/>
      <c r="E9" s="196" t="s">
        <v>812</v>
      </c>
      <c r="F9" s="196"/>
      <c r="G9" s="196"/>
    </row>
    <row r="10" spans="1:7" hidden="1" x14ac:dyDescent="0.2">
      <c r="A10" s="63"/>
      <c r="B10" s="63"/>
      <c r="C10" s="103"/>
      <c r="D10" s="103"/>
      <c r="E10" s="103"/>
      <c r="F10" s="103"/>
      <c r="G10" s="103"/>
    </row>
    <row r="12" spans="1:7" ht="27.95" customHeight="1" x14ac:dyDescent="0.2">
      <c r="A12" s="189" t="s">
        <v>105</v>
      </c>
      <c r="B12" s="189"/>
      <c r="C12" s="189"/>
      <c r="D12" s="189"/>
      <c r="E12" s="196"/>
      <c r="F12" s="196"/>
      <c r="G12" s="196"/>
    </row>
    <row r="13" spans="1:7" hidden="1" x14ac:dyDescent="0.2"/>
    <row r="14" spans="1:7" ht="27.95" customHeight="1" x14ac:dyDescent="0.2">
      <c r="A14" s="189" t="s">
        <v>106</v>
      </c>
      <c r="B14" s="189"/>
      <c r="C14" s="189"/>
      <c r="D14" s="189"/>
      <c r="E14" s="196"/>
      <c r="F14" s="196"/>
      <c r="G14" s="196"/>
    </row>
    <row r="15" spans="1:7" hidden="1" x14ac:dyDescent="0.2">
      <c r="A15" s="94"/>
      <c r="B15" s="94"/>
      <c r="C15" s="63"/>
      <c r="D15" s="94"/>
      <c r="E15" s="94"/>
    </row>
    <row r="16" spans="1:7" ht="12.75" customHeight="1" x14ac:dyDescent="0.2">
      <c r="A16" s="94"/>
      <c r="B16" s="94"/>
      <c r="C16" s="63"/>
      <c r="D16" s="94"/>
      <c r="E16" s="94"/>
    </row>
    <row r="17" spans="1:7" ht="12.75" customHeight="1" x14ac:dyDescent="0.2">
      <c r="A17" s="198" t="s">
        <v>218</v>
      </c>
      <c r="B17" s="198"/>
      <c r="C17" s="198"/>
      <c r="D17" s="198"/>
      <c r="E17" s="198"/>
      <c r="F17" s="198"/>
      <c r="G17" s="198"/>
    </row>
    <row r="18" spans="1:7" ht="31.35" customHeight="1" x14ac:dyDescent="0.2">
      <c r="A18" s="260" t="s">
        <v>734</v>
      </c>
      <c r="B18" s="260" t="s">
        <v>735</v>
      </c>
      <c r="C18" s="260" t="s">
        <v>736</v>
      </c>
      <c r="D18" s="260"/>
      <c r="E18" s="260" t="s">
        <v>737</v>
      </c>
      <c r="F18" s="260" t="s">
        <v>738</v>
      </c>
      <c r="G18" s="260" t="s">
        <v>739</v>
      </c>
    </row>
    <row r="19" spans="1:7" ht="31.7" customHeight="1" x14ac:dyDescent="0.2">
      <c r="A19" s="260"/>
      <c r="B19" s="260"/>
      <c r="C19" s="127" t="s">
        <v>740</v>
      </c>
      <c r="D19" s="127" t="s">
        <v>741</v>
      </c>
      <c r="E19" s="260"/>
      <c r="F19" s="260"/>
      <c r="G19" s="260"/>
    </row>
    <row r="20" spans="1:7" x14ac:dyDescent="0.2">
      <c r="A20" s="129">
        <v>1</v>
      </c>
      <c r="B20" s="129">
        <v>2</v>
      </c>
      <c r="C20" s="129">
        <v>3</v>
      </c>
      <c r="D20" s="129">
        <v>4</v>
      </c>
      <c r="E20" s="129">
        <v>5</v>
      </c>
      <c r="F20" s="139">
        <v>6</v>
      </c>
      <c r="G20" s="139">
        <v>7</v>
      </c>
    </row>
    <row r="21" spans="1:7" ht="25.5" customHeight="1" x14ac:dyDescent="0.2">
      <c r="A21" s="262">
        <v>1</v>
      </c>
      <c r="B21" s="263" t="s">
        <v>813</v>
      </c>
      <c r="C21" s="140">
        <v>1</v>
      </c>
      <c r="D21" s="140" t="s">
        <v>757</v>
      </c>
      <c r="E21" s="140">
        <v>1</v>
      </c>
      <c r="F21" s="141" t="s">
        <v>744</v>
      </c>
      <c r="G21" s="264">
        <f>ROUND((1*1*8*414.15+1*3*8*258.84+1*1*8*414.15),2)</f>
        <v>12838.56</v>
      </c>
    </row>
    <row r="22" spans="1:7" ht="25.5" x14ac:dyDescent="0.2">
      <c r="A22" s="262"/>
      <c r="B22" s="263"/>
      <c r="C22" s="140">
        <v>1</v>
      </c>
      <c r="D22" s="140" t="s">
        <v>814</v>
      </c>
      <c r="E22" s="140">
        <v>3</v>
      </c>
      <c r="F22" s="141" t="s">
        <v>746</v>
      </c>
      <c r="G22" s="264"/>
    </row>
    <row r="23" spans="1:7" x14ac:dyDescent="0.2">
      <c r="A23" s="262"/>
      <c r="B23" s="263"/>
      <c r="C23" s="140">
        <v>1</v>
      </c>
      <c r="D23" s="140" t="s">
        <v>743</v>
      </c>
      <c r="E23" s="140">
        <v>1</v>
      </c>
      <c r="F23" s="141" t="s">
        <v>744</v>
      </c>
      <c r="G23" s="264"/>
    </row>
    <row r="24" spans="1:7" ht="25.5" x14ac:dyDescent="0.2">
      <c r="A24" s="269">
        <v>2</v>
      </c>
      <c r="B24" s="270" t="s">
        <v>815</v>
      </c>
      <c r="C24" s="142">
        <v>1</v>
      </c>
      <c r="D24" s="142" t="s">
        <v>814</v>
      </c>
      <c r="E24" s="142">
        <v>2</v>
      </c>
      <c r="F24" s="143" t="s">
        <v>746</v>
      </c>
      <c r="G24" s="271">
        <f>ROUND((1*2*8*258.84+1*2*8*232.96+1*2*8*232.96+1*2*8*232.96+1*1*8*414.15),2)</f>
        <v>18636.72</v>
      </c>
    </row>
    <row r="25" spans="1:7" x14ac:dyDescent="0.2">
      <c r="A25" s="269"/>
      <c r="B25" s="270"/>
      <c r="C25" s="142">
        <v>1</v>
      </c>
      <c r="D25" s="142" t="s">
        <v>816</v>
      </c>
      <c r="E25" s="142">
        <v>2</v>
      </c>
      <c r="F25" s="143" t="s">
        <v>748</v>
      </c>
      <c r="G25" s="271"/>
    </row>
    <row r="26" spans="1:7" ht="51" x14ac:dyDescent="0.2">
      <c r="A26" s="269"/>
      <c r="B26" s="270"/>
      <c r="C26" s="142">
        <v>1</v>
      </c>
      <c r="D26" s="142" t="s">
        <v>817</v>
      </c>
      <c r="E26" s="142">
        <v>2</v>
      </c>
      <c r="F26" s="143" t="s">
        <v>748</v>
      </c>
      <c r="G26" s="271"/>
    </row>
    <row r="27" spans="1:7" ht="25.5" x14ac:dyDescent="0.2">
      <c r="A27" s="269"/>
      <c r="B27" s="270"/>
      <c r="C27" s="142">
        <v>1</v>
      </c>
      <c r="D27" s="142" t="s">
        <v>818</v>
      </c>
      <c r="E27" s="142">
        <v>2</v>
      </c>
      <c r="F27" s="143" t="s">
        <v>748</v>
      </c>
      <c r="G27" s="271"/>
    </row>
    <row r="28" spans="1:7" ht="38.25" x14ac:dyDescent="0.2">
      <c r="A28" s="269"/>
      <c r="B28" s="270"/>
      <c r="C28" s="142">
        <v>1</v>
      </c>
      <c r="D28" s="142" t="s">
        <v>819</v>
      </c>
      <c r="E28" s="142">
        <v>1</v>
      </c>
      <c r="F28" s="143" t="s">
        <v>744</v>
      </c>
      <c r="G28" s="271"/>
    </row>
    <row r="29" spans="1:7" ht="38.25" customHeight="1" x14ac:dyDescent="0.2">
      <c r="A29" s="269">
        <v>3</v>
      </c>
      <c r="B29" s="270" t="s">
        <v>820</v>
      </c>
      <c r="C29" s="142">
        <v>1</v>
      </c>
      <c r="D29" s="142" t="s">
        <v>814</v>
      </c>
      <c r="E29" s="142">
        <v>3</v>
      </c>
      <c r="F29" s="143" t="s">
        <v>746</v>
      </c>
      <c r="G29" s="271">
        <f>ROUND((1*3*8*258.84+1*2*8*414.15),2)</f>
        <v>12838.56</v>
      </c>
    </row>
    <row r="30" spans="1:7" ht="38.25" x14ac:dyDescent="0.2">
      <c r="A30" s="269"/>
      <c r="B30" s="270"/>
      <c r="C30" s="142">
        <v>1</v>
      </c>
      <c r="D30" s="142" t="s">
        <v>819</v>
      </c>
      <c r="E30" s="142">
        <v>2</v>
      </c>
      <c r="F30" s="143" t="s">
        <v>744</v>
      </c>
      <c r="G30" s="271"/>
    </row>
    <row r="31" spans="1:7" ht="25.5" x14ac:dyDescent="0.2">
      <c r="A31" s="269">
        <v>4</v>
      </c>
      <c r="B31" s="270" t="s">
        <v>821</v>
      </c>
      <c r="C31" s="142">
        <v>1</v>
      </c>
      <c r="D31" s="142" t="s">
        <v>814</v>
      </c>
      <c r="E31" s="142">
        <v>3</v>
      </c>
      <c r="F31" s="143" t="s">
        <v>746</v>
      </c>
      <c r="G31" s="271">
        <f>ROUND((1*3*8*258.84+1*2*8*232.96+1*3*8*232.96+1*2*8*414.15),2)</f>
        <v>22156.959999999999</v>
      </c>
    </row>
    <row r="32" spans="1:7" x14ac:dyDescent="0.2">
      <c r="A32" s="269"/>
      <c r="B32" s="270"/>
      <c r="C32" s="142">
        <v>1</v>
      </c>
      <c r="D32" s="142" t="s">
        <v>816</v>
      </c>
      <c r="E32" s="142">
        <v>2</v>
      </c>
      <c r="F32" s="143" t="s">
        <v>748</v>
      </c>
      <c r="G32" s="271"/>
    </row>
    <row r="33" spans="1:7" ht="25.5" x14ac:dyDescent="0.2">
      <c r="A33" s="269"/>
      <c r="B33" s="270"/>
      <c r="C33" s="142">
        <v>1</v>
      </c>
      <c r="D33" s="142" t="s">
        <v>818</v>
      </c>
      <c r="E33" s="142">
        <v>3</v>
      </c>
      <c r="F33" s="143" t="s">
        <v>748</v>
      </c>
      <c r="G33" s="271"/>
    </row>
    <row r="34" spans="1:7" ht="38.25" x14ac:dyDescent="0.2">
      <c r="A34" s="269"/>
      <c r="B34" s="270"/>
      <c r="C34" s="142">
        <v>1</v>
      </c>
      <c r="D34" s="142" t="s">
        <v>819</v>
      </c>
      <c r="E34" s="142">
        <v>2</v>
      </c>
      <c r="F34" s="143" t="s">
        <v>744</v>
      </c>
      <c r="G34" s="271"/>
    </row>
    <row r="35" spans="1:7" ht="51" customHeight="1" x14ac:dyDescent="0.2">
      <c r="A35" s="269">
        <v>5</v>
      </c>
      <c r="B35" s="270" t="s">
        <v>822</v>
      </c>
      <c r="C35" s="142">
        <v>1</v>
      </c>
      <c r="D35" s="142" t="s">
        <v>814</v>
      </c>
      <c r="E35" s="142">
        <v>2</v>
      </c>
      <c r="F35" s="143" t="s">
        <v>746</v>
      </c>
      <c r="G35" s="271">
        <f>ROUND((1*2*8*258.84+1*3*8*232.96+1*3*8*232.96+1*1*8*414.15),2)</f>
        <v>18636.72</v>
      </c>
    </row>
    <row r="36" spans="1:7" x14ac:dyDescent="0.2">
      <c r="A36" s="269"/>
      <c r="B36" s="270"/>
      <c r="C36" s="142">
        <v>1</v>
      </c>
      <c r="D36" s="142" t="s">
        <v>816</v>
      </c>
      <c r="E36" s="142">
        <v>3</v>
      </c>
      <c r="F36" s="143" t="s">
        <v>748</v>
      </c>
      <c r="G36" s="271"/>
    </row>
    <row r="37" spans="1:7" ht="25.5" x14ac:dyDescent="0.2">
      <c r="A37" s="269"/>
      <c r="B37" s="270"/>
      <c r="C37" s="142">
        <v>1</v>
      </c>
      <c r="D37" s="142" t="s">
        <v>818</v>
      </c>
      <c r="E37" s="142">
        <v>3</v>
      </c>
      <c r="F37" s="143" t="s">
        <v>748</v>
      </c>
      <c r="G37" s="271"/>
    </row>
    <row r="38" spans="1:7" ht="38.25" x14ac:dyDescent="0.2">
      <c r="A38" s="269"/>
      <c r="B38" s="270"/>
      <c r="C38" s="142">
        <v>1</v>
      </c>
      <c r="D38" s="142" t="s">
        <v>819</v>
      </c>
      <c r="E38" s="142">
        <v>1</v>
      </c>
      <c r="F38" s="143" t="s">
        <v>744</v>
      </c>
      <c r="G38" s="271"/>
    </row>
    <row r="39" spans="1:7" ht="89.25" customHeight="1" x14ac:dyDescent="0.2">
      <c r="A39" s="269">
        <v>6</v>
      </c>
      <c r="B39" s="270" t="s">
        <v>823</v>
      </c>
      <c r="C39" s="142">
        <v>1</v>
      </c>
      <c r="D39" s="142" t="s">
        <v>814</v>
      </c>
      <c r="E39" s="142">
        <v>2</v>
      </c>
      <c r="F39" s="143" t="s">
        <v>746</v>
      </c>
      <c r="G39" s="271">
        <f>ROUND((1*2*8*258.84+1*3*8*232.96+1*3*8*232.96+1*3*8*232.96+1*1*8*414.15),2)</f>
        <v>24227.759999999998</v>
      </c>
    </row>
    <row r="40" spans="1:7" x14ac:dyDescent="0.2">
      <c r="A40" s="269"/>
      <c r="B40" s="270"/>
      <c r="C40" s="142">
        <v>1</v>
      </c>
      <c r="D40" s="142" t="s">
        <v>816</v>
      </c>
      <c r="E40" s="142">
        <v>3</v>
      </c>
      <c r="F40" s="143" t="s">
        <v>748</v>
      </c>
      <c r="G40" s="271"/>
    </row>
    <row r="41" spans="1:7" ht="51" x14ac:dyDescent="0.2">
      <c r="A41" s="269"/>
      <c r="B41" s="270"/>
      <c r="C41" s="142">
        <v>1</v>
      </c>
      <c r="D41" s="142" t="s">
        <v>817</v>
      </c>
      <c r="E41" s="142">
        <v>3</v>
      </c>
      <c r="F41" s="143" t="s">
        <v>748</v>
      </c>
      <c r="G41" s="271"/>
    </row>
    <row r="42" spans="1:7" ht="25.5" x14ac:dyDescent="0.2">
      <c r="A42" s="269"/>
      <c r="B42" s="270"/>
      <c r="C42" s="142">
        <v>1</v>
      </c>
      <c r="D42" s="142" t="s">
        <v>818</v>
      </c>
      <c r="E42" s="142">
        <v>3</v>
      </c>
      <c r="F42" s="143" t="s">
        <v>748</v>
      </c>
      <c r="G42" s="271"/>
    </row>
    <row r="43" spans="1:7" ht="38.25" x14ac:dyDescent="0.2">
      <c r="A43" s="269"/>
      <c r="B43" s="270"/>
      <c r="C43" s="142">
        <v>1</v>
      </c>
      <c r="D43" s="142" t="s">
        <v>819</v>
      </c>
      <c r="E43" s="142">
        <v>1</v>
      </c>
      <c r="F43" s="143" t="s">
        <v>744</v>
      </c>
      <c r="G43" s="271"/>
    </row>
    <row r="44" spans="1:7" ht="25.5" x14ac:dyDescent="0.2">
      <c r="A44" s="269">
        <v>7</v>
      </c>
      <c r="B44" s="270" t="s">
        <v>824</v>
      </c>
      <c r="C44" s="142">
        <v>1</v>
      </c>
      <c r="D44" s="142" t="s">
        <v>814</v>
      </c>
      <c r="E44" s="142">
        <v>2</v>
      </c>
      <c r="F44" s="143" t="s">
        <v>746</v>
      </c>
      <c r="G44" s="271">
        <f>ROUND((1*2*8*258.84+1*3*8*232.96+1*1*8*414.15),2)</f>
        <v>13045.68</v>
      </c>
    </row>
    <row r="45" spans="1:7" x14ac:dyDescent="0.2">
      <c r="A45" s="269"/>
      <c r="B45" s="270"/>
      <c r="C45" s="142">
        <v>1</v>
      </c>
      <c r="D45" s="142" t="s">
        <v>816</v>
      </c>
      <c r="E45" s="142">
        <v>3</v>
      </c>
      <c r="F45" s="143" t="s">
        <v>748</v>
      </c>
      <c r="G45" s="271"/>
    </row>
    <row r="46" spans="1:7" ht="38.25" x14ac:dyDescent="0.2">
      <c r="A46" s="269"/>
      <c r="B46" s="270"/>
      <c r="C46" s="142">
        <v>1</v>
      </c>
      <c r="D46" s="142" t="s">
        <v>819</v>
      </c>
      <c r="E46" s="142">
        <v>1</v>
      </c>
      <c r="F46" s="143" t="s">
        <v>744</v>
      </c>
      <c r="G46" s="271"/>
    </row>
    <row r="47" spans="1:7" ht="38.25" customHeight="1" x14ac:dyDescent="0.2">
      <c r="A47" s="269">
        <v>8</v>
      </c>
      <c r="B47" s="270" t="s">
        <v>825</v>
      </c>
      <c r="C47" s="142">
        <v>1</v>
      </c>
      <c r="D47" s="142" t="s">
        <v>814</v>
      </c>
      <c r="E47" s="142">
        <v>1</v>
      </c>
      <c r="F47" s="143" t="s">
        <v>746</v>
      </c>
      <c r="G47" s="271">
        <f>ROUND((1*1*8*258.84+1*1*8*414.15+1*1*8*116.48),2)</f>
        <v>6315.76</v>
      </c>
    </row>
    <row r="48" spans="1:7" ht="38.25" x14ac:dyDescent="0.2">
      <c r="A48" s="269"/>
      <c r="B48" s="270"/>
      <c r="C48" s="142">
        <v>1</v>
      </c>
      <c r="D48" s="142" t="s">
        <v>819</v>
      </c>
      <c r="E48" s="142">
        <v>1</v>
      </c>
      <c r="F48" s="143" t="s">
        <v>744</v>
      </c>
      <c r="G48" s="271"/>
    </row>
    <row r="49" spans="1:7" ht="38.25" x14ac:dyDescent="0.2">
      <c r="A49" s="269"/>
      <c r="B49" s="270"/>
      <c r="C49" s="142">
        <v>1</v>
      </c>
      <c r="D49" s="142" t="s">
        <v>826</v>
      </c>
      <c r="E49" s="142">
        <v>1</v>
      </c>
      <c r="F49" s="143" t="s">
        <v>827</v>
      </c>
      <c r="G49" s="271"/>
    </row>
    <row r="50" spans="1:7" x14ac:dyDescent="0.2">
      <c r="A50" s="144">
        <v>9</v>
      </c>
      <c r="B50" s="142" t="s">
        <v>213</v>
      </c>
      <c r="C50" s="142"/>
      <c r="D50" s="142"/>
      <c r="E50" s="142"/>
      <c r="F50" s="143"/>
      <c r="G50" s="145">
        <f>ROUND(($G$21 + $G$24 + $G$29 + $G$31 + $G$35 + $G$39 + $G$44 + $G$47),2)</f>
        <v>128696.72</v>
      </c>
    </row>
    <row r="53" spans="1:7" x14ac:dyDescent="0.2">
      <c r="A53" s="265" t="s">
        <v>828</v>
      </c>
      <c r="B53" s="265"/>
      <c r="C53" s="265"/>
      <c r="D53" s="265"/>
      <c r="E53" s="265"/>
      <c r="F53" s="265"/>
      <c r="G53" s="265"/>
    </row>
    <row r="55" spans="1:7" ht="25.5" customHeight="1" x14ac:dyDescent="0.2">
      <c r="A55" s="144">
        <v>10</v>
      </c>
      <c r="B55" s="272" t="s">
        <v>829</v>
      </c>
      <c r="C55" s="273"/>
      <c r="D55" s="273"/>
      <c r="E55" s="273"/>
      <c r="F55" s="274"/>
      <c r="G55" s="145">
        <f>ROUND(($G$50),2)</f>
        <v>128696.72</v>
      </c>
    </row>
    <row r="56" spans="1:7" ht="25.5" customHeight="1" x14ac:dyDescent="0.2">
      <c r="A56" s="144">
        <v>11</v>
      </c>
      <c r="B56" s="272" t="s">
        <v>830</v>
      </c>
      <c r="C56" s="273"/>
      <c r="D56" s="273"/>
      <c r="E56" s="273"/>
      <c r="F56" s="274"/>
      <c r="G56" s="145">
        <f>ROUND(($G$55) * 30.8 / 100 * 1,2)</f>
        <v>39638.589999999997</v>
      </c>
    </row>
    <row r="57" spans="1:7" ht="25.5" customHeight="1" x14ac:dyDescent="0.2">
      <c r="A57" s="144">
        <v>12</v>
      </c>
      <c r="B57" s="272" t="s">
        <v>831</v>
      </c>
      <c r="C57" s="273"/>
      <c r="D57" s="273"/>
      <c r="E57" s="273"/>
      <c r="F57" s="274"/>
      <c r="G57" s="145">
        <f>ROUND(($G$55 + $G$56),2)</f>
        <v>168335.31</v>
      </c>
    </row>
    <row r="58" spans="1:7" ht="63.75" customHeight="1" x14ac:dyDescent="0.2">
      <c r="A58" s="144">
        <v>13</v>
      </c>
      <c r="B58" s="272" t="s">
        <v>832</v>
      </c>
      <c r="C58" s="273"/>
      <c r="D58" s="273"/>
      <c r="E58" s="273"/>
      <c r="F58" s="274"/>
      <c r="G58" s="145">
        <f>ROUND(($G$55 + $G$56) * 1/0.4 * 1,2)</f>
        <v>420838.28</v>
      </c>
    </row>
    <row r="59" spans="1:7" ht="25.5" customHeight="1" x14ac:dyDescent="0.2">
      <c r="A59" s="144">
        <v>14</v>
      </c>
      <c r="B59" s="272" t="s">
        <v>833</v>
      </c>
      <c r="C59" s="273"/>
      <c r="D59" s="273"/>
      <c r="E59" s="273"/>
      <c r="F59" s="274"/>
      <c r="G59" s="145">
        <f>ROUND(($G$58) * 8 / 100 * 1,2)</f>
        <v>33667.06</v>
      </c>
    </row>
    <row r="60" spans="1:7" ht="25.5" customHeight="1" x14ac:dyDescent="0.2">
      <c r="A60" s="144">
        <v>15</v>
      </c>
      <c r="B60" s="272" t="s">
        <v>834</v>
      </c>
      <c r="C60" s="273"/>
      <c r="D60" s="273"/>
      <c r="E60" s="273"/>
      <c r="F60" s="274"/>
      <c r="G60" s="145">
        <f>ROUND(($G$58 + $G$59),2)</f>
        <v>454505.34</v>
      </c>
    </row>
    <row r="61" spans="1:7" ht="12.75" customHeight="1" x14ac:dyDescent="0.2">
      <c r="A61" s="144">
        <v>16</v>
      </c>
      <c r="B61" s="272" t="s">
        <v>214</v>
      </c>
      <c r="C61" s="273"/>
      <c r="D61" s="273"/>
      <c r="E61" s="273"/>
      <c r="F61" s="274"/>
      <c r="G61" s="145">
        <v>454505.34</v>
      </c>
    </row>
    <row r="63" spans="1:7" s="93" customFormat="1" ht="12.75" customHeight="1" x14ac:dyDescent="0.2">
      <c r="A63" s="189" t="s">
        <v>215</v>
      </c>
      <c r="B63" s="189"/>
      <c r="C63" s="261"/>
      <c r="D63" s="261"/>
      <c r="E63" s="261"/>
      <c r="F63" s="261"/>
      <c r="G63" s="261"/>
    </row>
    <row r="64" spans="1:7" ht="24.95" customHeight="1" x14ac:dyDescent="0.2">
      <c r="A64" s="94"/>
      <c r="B64" s="94"/>
      <c r="C64" s="94"/>
      <c r="D64" s="94"/>
      <c r="E64" s="94"/>
      <c r="F64" s="63"/>
      <c r="G64" s="63"/>
    </row>
    <row r="65" spans="1:7" x14ac:dyDescent="0.2">
      <c r="A65" s="94"/>
      <c r="B65" s="94"/>
      <c r="C65" s="94"/>
      <c r="D65" s="94"/>
      <c r="E65" s="94"/>
      <c r="F65" s="63"/>
      <c r="G65" s="63"/>
    </row>
  </sheetData>
  <mergeCells count="53">
    <mergeCell ref="B60:F60"/>
    <mergeCell ref="B61:F61"/>
    <mergeCell ref="A63:B63"/>
    <mergeCell ref="C63:G63"/>
    <mergeCell ref="A53:G53"/>
    <mergeCell ref="B55:F55"/>
    <mergeCell ref="B56:F56"/>
    <mergeCell ref="B57:F57"/>
    <mergeCell ref="B58:F58"/>
    <mergeCell ref="B59:F59"/>
    <mergeCell ref="A44:A46"/>
    <mergeCell ref="B44:B46"/>
    <mergeCell ref="G44:G46"/>
    <mergeCell ref="A47:A49"/>
    <mergeCell ref="B47:B49"/>
    <mergeCell ref="G47:G49"/>
    <mergeCell ref="A35:A38"/>
    <mergeCell ref="B35:B38"/>
    <mergeCell ref="G35:G38"/>
    <mergeCell ref="A39:A43"/>
    <mergeCell ref="B39:B43"/>
    <mergeCell ref="G39:G43"/>
    <mergeCell ref="A29:A30"/>
    <mergeCell ref="B29:B30"/>
    <mergeCell ref="G29:G30"/>
    <mergeCell ref="A31:A34"/>
    <mergeCell ref="B31:B34"/>
    <mergeCell ref="G31:G34"/>
    <mergeCell ref="A21:A23"/>
    <mergeCell ref="B21:B23"/>
    <mergeCell ref="G21:G23"/>
    <mergeCell ref="A24:A28"/>
    <mergeCell ref="B24:B28"/>
    <mergeCell ref="G24:G28"/>
    <mergeCell ref="A17:G17"/>
    <mergeCell ref="A18:A19"/>
    <mergeCell ref="B18:B19"/>
    <mergeCell ref="C18:D18"/>
    <mergeCell ref="E18:E19"/>
    <mergeCell ref="F18:F19"/>
    <mergeCell ref="G18:G19"/>
    <mergeCell ref="A9:D9"/>
    <mergeCell ref="E9:G9"/>
    <mergeCell ref="A12:D12"/>
    <mergeCell ref="E12:G12"/>
    <mergeCell ref="A14:D14"/>
    <mergeCell ref="E14:G14"/>
    <mergeCell ref="A1:B1"/>
    <mergeCell ref="C1:G1"/>
    <mergeCell ref="B4:F4"/>
    <mergeCell ref="B5:F5"/>
    <mergeCell ref="A7:B7"/>
    <mergeCell ref="C7:G7"/>
  </mergeCells>
  <pageMargins left="0.39374999999999999" right="0.39374999999999999" top="0.59027777777777779" bottom="0.82777777777777783" header="0.51180555555555562" footer="0.59027777777777779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E43E0-6A3E-49A1-AF4D-8567330CB752}">
  <dimension ref="A1:I22"/>
  <sheetViews>
    <sheetView topLeftCell="A10" workbookViewId="0">
      <selection activeCell="D21" sqref="D21:I21"/>
    </sheetView>
  </sheetViews>
  <sheetFormatPr defaultColWidth="11.5703125" defaultRowHeight="12.75" x14ac:dyDescent="0.2"/>
  <cols>
    <col min="1" max="1" width="3.7109375" style="107" customWidth="1"/>
    <col min="2" max="2" width="10.7109375" style="107" customWidth="1"/>
    <col min="3" max="3" width="15.5703125" style="107" customWidth="1"/>
    <col min="4" max="4" width="4.42578125" style="107" customWidth="1"/>
    <col min="5" max="7" width="9.28515625" style="107" customWidth="1"/>
    <col min="8" max="8" width="19.7109375" style="107" customWidth="1"/>
    <col min="9" max="9" width="14.7109375" style="107" customWidth="1"/>
    <col min="10" max="10" width="19.7109375" style="58" customWidth="1"/>
    <col min="11" max="16384" width="11.5703125" style="58"/>
  </cols>
  <sheetData>
    <row r="1" spans="1:9" ht="25.5" customHeight="1" x14ac:dyDescent="0.2">
      <c r="A1" s="208" t="s">
        <v>99</v>
      </c>
      <c r="B1" s="208"/>
      <c r="C1" s="208"/>
      <c r="D1" s="192" t="s">
        <v>911</v>
      </c>
      <c r="E1" s="192"/>
      <c r="F1" s="192"/>
      <c r="G1" s="192"/>
      <c r="H1" s="192"/>
      <c r="I1" s="192"/>
    </row>
    <row r="2" spans="1:9" x14ac:dyDescent="0.2">
      <c r="A2" s="59"/>
      <c r="B2" s="59"/>
      <c r="C2" s="59"/>
      <c r="D2" s="60"/>
      <c r="E2" s="60"/>
      <c r="F2" s="60"/>
      <c r="G2" s="60"/>
      <c r="H2" s="60"/>
      <c r="I2" s="60"/>
    </row>
    <row r="3" spans="1:9" x14ac:dyDescent="0.2">
      <c r="A3" s="193" t="s">
        <v>974</v>
      </c>
      <c r="B3" s="193"/>
      <c r="C3" s="193"/>
      <c r="D3" s="193"/>
      <c r="E3" s="193"/>
      <c r="F3" s="193"/>
      <c r="G3" s="193"/>
      <c r="H3" s="193"/>
      <c r="I3" s="193"/>
    </row>
    <row r="4" spans="1:9" x14ac:dyDescent="0.2">
      <c r="A4" s="209" t="s">
        <v>101</v>
      </c>
      <c r="B4" s="209"/>
      <c r="C4" s="209"/>
      <c r="D4" s="209"/>
      <c r="E4" s="209"/>
      <c r="F4" s="209"/>
      <c r="G4" s="209"/>
      <c r="H4" s="209"/>
      <c r="I4" s="209"/>
    </row>
    <row r="5" spans="1:9" x14ac:dyDescent="0.2">
      <c r="A5" s="92"/>
      <c r="B5" s="92"/>
      <c r="C5" s="92"/>
      <c r="D5" s="92"/>
      <c r="E5" s="92"/>
      <c r="F5" s="92"/>
      <c r="G5" s="92"/>
      <c r="H5" s="92"/>
      <c r="I5" s="92"/>
    </row>
    <row r="6" spans="1:9" ht="51" customHeight="1" x14ac:dyDescent="0.2">
      <c r="A6" s="210" t="s">
        <v>102</v>
      </c>
      <c r="B6" s="210"/>
      <c r="C6" s="210"/>
      <c r="D6" s="189" t="s">
        <v>87</v>
      </c>
      <c r="E6" s="189"/>
      <c r="F6" s="189"/>
      <c r="G6" s="189"/>
      <c r="H6" s="189"/>
      <c r="I6" s="189"/>
    </row>
    <row r="7" spans="1:9" ht="3.75" customHeight="1" x14ac:dyDescent="0.2">
      <c r="D7" s="59"/>
      <c r="E7" s="59"/>
      <c r="F7" s="59"/>
      <c r="G7" s="59"/>
    </row>
    <row r="8" spans="1:9" ht="66" customHeight="1" x14ac:dyDescent="0.2">
      <c r="A8" s="189" t="s">
        <v>103</v>
      </c>
      <c r="B8" s="189"/>
      <c r="C8" s="189"/>
      <c r="D8" s="196" t="s">
        <v>836</v>
      </c>
      <c r="E8" s="196"/>
      <c r="F8" s="196"/>
      <c r="G8" s="196"/>
      <c r="H8" s="196"/>
      <c r="I8" s="196"/>
    </row>
    <row r="9" spans="1:9" ht="3.95" customHeight="1" x14ac:dyDescent="0.2">
      <c r="A9" s="94"/>
      <c r="B9" s="94"/>
      <c r="C9" s="94"/>
    </row>
    <row r="10" spans="1:9" ht="41.25" customHeight="1" x14ac:dyDescent="0.2">
      <c r="A10" s="189" t="s">
        <v>105</v>
      </c>
      <c r="B10" s="189"/>
      <c r="C10" s="189"/>
      <c r="D10" s="189"/>
      <c r="E10" s="189"/>
      <c r="F10" s="189"/>
      <c r="G10" s="189"/>
      <c r="H10" s="189"/>
      <c r="I10" s="189"/>
    </row>
    <row r="11" spans="1:9" ht="3.95" customHeight="1" x14ac:dyDescent="0.2"/>
    <row r="12" spans="1:9" ht="30" customHeight="1" x14ac:dyDescent="0.2">
      <c r="A12" s="189" t="s">
        <v>106</v>
      </c>
      <c r="B12" s="189"/>
      <c r="C12" s="189"/>
      <c r="D12" s="189"/>
      <c r="E12" s="189"/>
      <c r="F12" s="189"/>
      <c r="G12" s="189"/>
      <c r="H12" s="189"/>
      <c r="I12" s="189"/>
    </row>
    <row r="13" spans="1:9" ht="3.75" customHeight="1" x14ac:dyDescent="0.2">
      <c r="A13" s="94"/>
      <c r="B13" s="94"/>
      <c r="C13" s="94"/>
      <c r="D13" s="63"/>
      <c r="E13" s="63"/>
      <c r="F13" s="63"/>
      <c r="G13" s="63"/>
      <c r="H13" s="94"/>
      <c r="I13" s="94"/>
    </row>
    <row r="14" spans="1:9" ht="12.75" customHeight="1" x14ac:dyDescent="0.2">
      <c r="A14" s="198" t="s">
        <v>218</v>
      </c>
      <c r="B14" s="198"/>
      <c r="C14" s="198"/>
      <c r="D14" s="198"/>
      <c r="E14" s="198"/>
      <c r="F14" s="198"/>
      <c r="G14" s="198"/>
      <c r="H14" s="198"/>
      <c r="I14" s="198"/>
    </row>
    <row r="15" spans="1:9" ht="100.5" customHeight="1" x14ac:dyDescent="0.2">
      <c r="A15" s="137" t="s">
        <v>108</v>
      </c>
      <c r="B15" s="222" t="s">
        <v>109</v>
      </c>
      <c r="C15" s="223"/>
      <c r="D15" s="222" t="s">
        <v>110</v>
      </c>
      <c r="E15" s="224"/>
      <c r="F15" s="224"/>
      <c r="G15" s="223"/>
      <c r="H15" s="138" t="s">
        <v>113</v>
      </c>
      <c r="I15" s="137" t="s">
        <v>114</v>
      </c>
    </row>
    <row r="16" spans="1:9" x14ac:dyDescent="0.2">
      <c r="A16" s="128" t="s">
        <v>6</v>
      </c>
      <c r="B16" s="255">
        <v>2</v>
      </c>
      <c r="C16" s="226"/>
      <c r="D16" s="255">
        <v>3</v>
      </c>
      <c r="E16" s="227"/>
      <c r="F16" s="227"/>
      <c r="G16" s="226"/>
      <c r="H16" s="129">
        <v>4</v>
      </c>
      <c r="I16" s="129">
        <v>5</v>
      </c>
    </row>
    <row r="17" spans="1:9" ht="12.75" customHeight="1" x14ac:dyDescent="0.2">
      <c r="A17" s="65" t="s">
        <v>6</v>
      </c>
      <c r="B17" s="228" t="s">
        <v>213</v>
      </c>
      <c r="C17" s="229"/>
      <c r="D17" s="228"/>
      <c r="E17" s="230"/>
      <c r="F17" s="230"/>
      <c r="G17" s="229"/>
      <c r="H17" s="66"/>
      <c r="I17" s="70">
        <f>ROUND(0,2)</f>
        <v>0</v>
      </c>
    </row>
    <row r="18" spans="1:9" ht="25.5" customHeight="1" x14ac:dyDescent="0.2">
      <c r="A18" s="65" t="s">
        <v>7</v>
      </c>
      <c r="B18" s="246" t="s">
        <v>19</v>
      </c>
      <c r="C18" s="247"/>
      <c r="D18" s="246"/>
      <c r="E18" s="248"/>
      <c r="F18" s="248"/>
      <c r="G18" s="247"/>
      <c r="H18" s="68" t="s">
        <v>837</v>
      </c>
      <c r="I18" s="69">
        <f>ROUND(422.1 * 1000 * 1,2)</f>
        <v>422100</v>
      </c>
    </row>
    <row r="19" spans="1:9" ht="12.75" customHeight="1" x14ac:dyDescent="0.2">
      <c r="A19" s="65" t="s">
        <v>23</v>
      </c>
      <c r="B19" s="228" t="s">
        <v>214</v>
      </c>
      <c r="C19" s="229"/>
      <c r="D19" s="228"/>
      <c r="E19" s="230"/>
      <c r="F19" s="230"/>
      <c r="G19" s="229"/>
      <c r="H19" s="66"/>
      <c r="I19" s="70">
        <f>ROUND((SUM($I$17:$I$18)),2)</f>
        <v>422100</v>
      </c>
    </row>
    <row r="20" spans="1:9" ht="12.75" customHeight="1" x14ac:dyDescent="0.2"/>
    <row r="21" spans="1:9" s="93" customFormat="1" ht="24.95" customHeight="1" x14ac:dyDescent="0.25">
      <c r="A21" s="189" t="s">
        <v>215</v>
      </c>
      <c r="B21" s="189"/>
      <c r="C21" s="189"/>
      <c r="D21" s="189"/>
      <c r="E21" s="189"/>
      <c r="F21" s="189"/>
      <c r="G21" s="189"/>
      <c r="H21" s="189"/>
      <c r="I21" s="189"/>
    </row>
    <row r="22" spans="1:9" ht="12.75" customHeight="1" x14ac:dyDescent="0.2">
      <c r="D22" s="95"/>
    </row>
  </sheetData>
  <mergeCells count="25">
    <mergeCell ref="B18:C18"/>
    <mergeCell ref="D18:G18"/>
    <mergeCell ref="B19:C19"/>
    <mergeCell ref="D19:G19"/>
    <mergeCell ref="A21:C21"/>
    <mergeCell ref="D21:I21"/>
    <mergeCell ref="B17:C17"/>
    <mergeCell ref="D17:G17"/>
    <mergeCell ref="A8:C8"/>
    <mergeCell ref="D8:I8"/>
    <mergeCell ref="A10:C10"/>
    <mergeCell ref="D10:I10"/>
    <mergeCell ref="A12:C12"/>
    <mergeCell ref="D12:I12"/>
    <mergeCell ref="A14:I14"/>
    <mergeCell ref="B15:C15"/>
    <mergeCell ref="D15:G15"/>
    <mergeCell ref="B16:C16"/>
    <mergeCell ref="D16:G16"/>
    <mergeCell ref="A1:C1"/>
    <mergeCell ref="D1:I1"/>
    <mergeCell ref="A3:I3"/>
    <mergeCell ref="A4:I4"/>
    <mergeCell ref="A6:C6"/>
    <mergeCell ref="D6:I6"/>
  </mergeCells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A683E-0758-4979-B18A-AFD00988A9C1}">
  <dimension ref="A1:J15"/>
  <sheetViews>
    <sheetView workbookViewId="0">
      <selection activeCell="N15" sqref="N15"/>
    </sheetView>
  </sheetViews>
  <sheetFormatPr defaultRowHeight="12.75" x14ac:dyDescent="0.2"/>
  <cols>
    <col min="1" max="1" width="9.28515625" style="58" customWidth="1"/>
    <col min="2" max="3" width="6.42578125" style="58" customWidth="1"/>
    <col min="4" max="4" width="10" style="58" customWidth="1"/>
    <col min="5" max="5" width="6.42578125" style="58" customWidth="1"/>
    <col min="6" max="6" width="11" style="58" customWidth="1"/>
    <col min="7" max="9" width="10" style="58" customWidth="1"/>
    <col min="10" max="10" width="9.7109375" style="58" customWidth="1"/>
    <col min="11" max="16384" width="9.140625" style="58"/>
  </cols>
  <sheetData>
    <row r="1" spans="1:10" ht="51" customHeight="1" x14ac:dyDescent="0.2">
      <c r="A1" s="190" t="s">
        <v>99</v>
      </c>
      <c r="B1" s="190"/>
      <c r="C1" s="190"/>
      <c r="D1" s="190"/>
      <c r="E1" s="278" t="s">
        <v>975</v>
      </c>
      <c r="F1" s="278"/>
      <c r="G1" s="278"/>
      <c r="H1" s="278"/>
      <c r="I1" s="278"/>
      <c r="J1" s="278"/>
    </row>
    <row r="2" spans="1:10" x14ac:dyDescent="0.2">
      <c r="B2" s="93"/>
      <c r="C2" s="93"/>
      <c r="D2" s="93"/>
      <c r="E2" s="101"/>
      <c r="F2" s="101"/>
      <c r="G2" s="101"/>
      <c r="H2" s="101"/>
      <c r="I2" s="101"/>
      <c r="J2" s="101"/>
    </row>
    <row r="3" spans="1:10" x14ac:dyDescent="0.2">
      <c r="A3" s="108"/>
      <c r="B3" s="107"/>
      <c r="C3" s="193" t="s">
        <v>836</v>
      </c>
      <c r="D3" s="193"/>
      <c r="E3" s="193"/>
      <c r="F3" s="193"/>
      <c r="G3" s="193"/>
      <c r="H3" s="193"/>
      <c r="I3" s="193"/>
      <c r="J3" s="107"/>
    </row>
    <row r="4" spans="1:10" x14ac:dyDescent="0.2">
      <c r="A4" s="107"/>
      <c r="B4" s="107"/>
      <c r="C4" s="107"/>
      <c r="D4" s="107"/>
      <c r="E4" s="107"/>
      <c r="F4" s="107"/>
      <c r="G4" s="107"/>
      <c r="H4" s="107"/>
      <c r="I4" s="107"/>
      <c r="J4" s="107"/>
    </row>
    <row r="5" spans="1:10" x14ac:dyDescent="0.2">
      <c r="A5" s="261" t="s">
        <v>838</v>
      </c>
      <c r="B5" s="261"/>
      <c r="C5" s="261"/>
      <c r="D5" s="261"/>
      <c r="E5" s="261"/>
      <c r="F5" s="261"/>
      <c r="G5" s="261"/>
      <c r="H5" s="261"/>
      <c r="I5" s="261"/>
      <c r="J5" s="261"/>
    </row>
    <row r="6" spans="1:10" s="107" customFormat="1" ht="68.099999999999994" customHeight="1" x14ac:dyDescent="0.2">
      <c r="A6" s="68" t="s">
        <v>839</v>
      </c>
      <c r="B6" s="68" t="s">
        <v>840</v>
      </c>
      <c r="C6" s="68" t="s">
        <v>841</v>
      </c>
      <c r="D6" s="68" t="s">
        <v>842</v>
      </c>
      <c r="E6" s="68" t="s">
        <v>843</v>
      </c>
      <c r="F6" s="68" t="s">
        <v>844</v>
      </c>
      <c r="G6" s="68" t="s">
        <v>845</v>
      </c>
      <c r="H6" s="68" t="s">
        <v>846</v>
      </c>
      <c r="I6" s="68" t="s">
        <v>847</v>
      </c>
      <c r="J6" s="68" t="s">
        <v>848</v>
      </c>
    </row>
    <row r="7" spans="1:10" x14ac:dyDescent="0.2">
      <c r="A7" s="68">
        <v>1</v>
      </c>
      <c r="B7" s="68">
        <v>2</v>
      </c>
      <c r="C7" s="68">
        <v>3</v>
      </c>
      <c r="D7" s="68">
        <v>4</v>
      </c>
      <c r="E7" s="68">
        <v>5</v>
      </c>
      <c r="F7" s="68">
        <v>6</v>
      </c>
      <c r="G7" s="68">
        <v>7</v>
      </c>
      <c r="H7" s="68">
        <v>8</v>
      </c>
      <c r="I7" s="68">
        <v>9</v>
      </c>
      <c r="J7" s="68">
        <v>10</v>
      </c>
    </row>
    <row r="8" spans="1:10" s="107" customFormat="1" x14ac:dyDescent="0.2">
      <c r="A8" s="68"/>
      <c r="B8" s="109">
        <v>3</v>
      </c>
      <c r="C8" s="109">
        <v>3</v>
      </c>
      <c r="D8" s="109">
        <v>7</v>
      </c>
      <c r="E8" s="109">
        <v>6</v>
      </c>
      <c r="F8" s="109">
        <v>2000</v>
      </c>
      <c r="G8" s="109">
        <v>15000</v>
      </c>
      <c r="H8" s="109">
        <v>15000</v>
      </c>
      <c r="I8" s="109">
        <v>700</v>
      </c>
      <c r="J8" s="109">
        <f>ROUND($B$8*$C$8*($D$8*$I$8+$E$8*$F$8+$G$8+$H$8),0)</f>
        <v>422100</v>
      </c>
    </row>
    <row r="9" spans="1:10" x14ac:dyDescent="0.2">
      <c r="A9" s="107"/>
      <c r="B9" s="107"/>
      <c r="C9" s="107"/>
      <c r="D9" s="107"/>
      <c r="E9" s="107"/>
      <c r="F9" s="107"/>
      <c r="G9" s="107"/>
      <c r="H9" s="107"/>
      <c r="I9" s="107"/>
      <c r="J9" s="107"/>
    </row>
    <row r="10" spans="1:10" ht="17.100000000000001" customHeight="1" x14ac:dyDescent="0.2">
      <c r="A10" s="189" t="s">
        <v>849</v>
      </c>
      <c r="B10" s="189"/>
      <c r="C10" s="189"/>
      <c r="D10" s="110">
        <f>$B$8*$C$8</f>
        <v>9</v>
      </c>
      <c r="E10" s="189" t="s">
        <v>850</v>
      </c>
      <c r="F10" s="189"/>
      <c r="G10" s="110">
        <f>$G$8+$H$8</f>
        <v>30000</v>
      </c>
      <c r="H10" s="95" t="s">
        <v>851</v>
      </c>
      <c r="I10" s="110">
        <f>ROUND($D$10*$G$10,0)</f>
        <v>270000</v>
      </c>
      <c r="J10" s="95" t="s">
        <v>22</v>
      </c>
    </row>
    <row r="11" spans="1:10" ht="17.100000000000001" customHeight="1" x14ac:dyDescent="0.2">
      <c r="A11" s="189" t="s">
        <v>852</v>
      </c>
      <c r="B11" s="189"/>
      <c r="C11" s="189"/>
      <c r="D11" s="110">
        <f>$B$8*$C$8*$E$8</f>
        <v>54</v>
      </c>
      <c r="E11" s="189" t="s">
        <v>853</v>
      </c>
      <c r="F11" s="189"/>
      <c r="G11" s="110">
        <f>$F$8</f>
        <v>2000</v>
      </c>
      <c r="H11" s="95" t="s">
        <v>851</v>
      </c>
      <c r="I11" s="110">
        <f>ROUND($D$11*$G$11,0)</f>
        <v>108000</v>
      </c>
      <c r="J11" s="95" t="s">
        <v>22</v>
      </c>
    </row>
    <row r="12" spans="1:10" ht="17.100000000000001" customHeight="1" x14ac:dyDescent="0.2">
      <c r="A12" s="189" t="s">
        <v>854</v>
      </c>
      <c r="B12" s="189"/>
      <c r="C12" s="189"/>
      <c r="D12" s="110">
        <f>$B$8*$C$8*$D$8</f>
        <v>63</v>
      </c>
      <c r="E12" s="189" t="s">
        <v>853</v>
      </c>
      <c r="F12" s="189"/>
      <c r="G12" s="110">
        <f>$I$8</f>
        <v>700</v>
      </c>
      <c r="H12" s="95" t="s">
        <v>851</v>
      </c>
      <c r="I12" s="110">
        <f>ROUND($D$12*$G$12,0)</f>
        <v>44100</v>
      </c>
      <c r="J12" s="95" t="s">
        <v>22</v>
      </c>
    </row>
    <row r="13" spans="1:10" x14ac:dyDescent="0.2">
      <c r="A13" s="107"/>
      <c r="B13" s="107"/>
      <c r="C13" s="259"/>
      <c r="D13" s="259"/>
      <c r="E13" s="259"/>
      <c r="F13" s="259"/>
      <c r="G13" s="259"/>
      <c r="H13" s="259"/>
      <c r="I13" s="259"/>
      <c r="J13" s="107"/>
    </row>
    <row r="15" spans="1:10" ht="20.100000000000001" customHeight="1" x14ac:dyDescent="0.2">
      <c r="A15" s="275" t="s">
        <v>855</v>
      </c>
      <c r="B15" s="275"/>
      <c r="C15" s="275"/>
      <c r="D15" s="275"/>
      <c r="E15" s="276">
        <f>ROUND($J$8,0)</f>
        <v>422100</v>
      </c>
      <c r="F15" s="277"/>
      <c r="G15" s="277"/>
      <c r="H15" s="277"/>
      <c r="I15" s="277"/>
      <c r="J15" s="111" t="s">
        <v>22</v>
      </c>
    </row>
  </sheetData>
  <mergeCells count="13">
    <mergeCell ref="A15:D15"/>
    <mergeCell ref="E15:I15"/>
    <mergeCell ref="A1:D1"/>
    <mergeCell ref="E1:J1"/>
    <mergeCell ref="C3:I3"/>
    <mergeCell ref="A5:J5"/>
    <mergeCell ref="A10:C10"/>
    <mergeCell ref="E10:F10"/>
    <mergeCell ref="A11:C11"/>
    <mergeCell ref="E11:F11"/>
    <mergeCell ref="A12:C12"/>
    <mergeCell ref="E12:F12"/>
    <mergeCell ref="C13:I1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B7AA5-6FC1-46D4-8A60-9FE31E8EC7AD}">
  <dimension ref="A1:G95"/>
  <sheetViews>
    <sheetView topLeftCell="A85" workbookViewId="0">
      <selection activeCell="J94" sqref="J94"/>
    </sheetView>
  </sheetViews>
  <sheetFormatPr defaultColWidth="11.5703125" defaultRowHeight="12.75" x14ac:dyDescent="0.2"/>
  <cols>
    <col min="1" max="1" width="3.7109375" style="157" customWidth="1"/>
    <col min="2" max="2" width="26.7109375" style="157" customWidth="1"/>
    <col min="3" max="3" width="7.7109375" style="157" customWidth="1"/>
    <col min="4" max="4" width="5" style="157" customWidth="1"/>
    <col min="5" max="5" width="27.7109375" style="157" customWidth="1"/>
    <col min="6" max="6" width="14.42578125" style="157" customWidth="1"/>
    <col min="7" max="7" width="11.5703125" style="157" customWidth="1"/>
    <col min="8" max="16384" width="11.5703125" style="58"/>
  </cols>
  <sheetData>
    <row r="1" spans="1:7" ht="51.2" customHeight="1" x14ac:dyDescent="0.2">
      <c r="A1" s="190" t="s">
        <v>16</v>
      </c>
      <c r="B1" s="190"/>
      <c r="C1" s="192" t="s">
        <v>989</v>
      </c>
      <c r="D1" s="192"/>
      <c r="E1" s="192"/>
      <c r="F1" s="192"/>
      <c r="G1" s="192"/>
    </row>
    <row r="2" spans="1:7" x14ac:dyDescent="0.2">
      <c r="A2" s="59"/>
      <c r="B2" s="59"/>
      <c r="C2" s="60"/>
      <c r="D2" s="60"/>
      <c r="E2" s="60"/>
      <c r="F2" s="60"/>
      <c r="G2" s="60"/>
    </row>
    <row r="3" spans="1:7" x14ac:dyDescent="0.2">
      <c r="A3" s="59"/>
      <c r="B3" s="59"/>
      <c r="C3" s="60"/>
      <c r="D3" s="60"/>
      <c r="E3" s="60"/>
      <c r="F3" s="60"/>
      <c r="G3" s="60"/>
    </row>
    <row r="4" spans="1:7" x14ac:dyDescent="0.2">
      <c r="B4" s="193" t="s">
        <v>981</v>
      </c>
      <c r="C4" s="193"/>
      <c r="D4" s="193"/>
      <c r="E4" s="193"/>
      <c r="F4" s="193"/>
    </row>
    <row r="5" spans="1:7" x14ac:dyDescent="0.2">
      <c r="B5" s="194" t="s">
        <v>990</v>
      </c>
      <c r="C5" s="194"/>
      <c r="D5" s="194"/>
      <c r="E5" s="194"/>
      <c r="F5" s="194"/>
    </row>
    <row r="6" spans="1:7" x14ac:dyDescent="0.2">
      <c r="B6" s="154"/>
      <c r="C6" s="154"/>
      <c r="D6" s="154"/>
      <c r="E6" s="154"/>
      <c r="F6" s="154"/>
    </row>
    <row r="7" spans="1:7" ht="51" customHeight="1" x14ac:dyDescent="0.2">
      <c r="A7" s="189" t="s">
        <v>102</v>
      </c>
      <c r="B7" s="189"/>
      <c r="C7" s="189"/>
      <c r="D7" s="195" t="s">
        <v>87</v>
      </c>
      <c r="E7" s="195"/>
      <c r="F7" s="195"/>
      <c r="G7" s="195"/>
    </row>
    <row r="8" spans="1:7" x14ac:dyDescent="0.2">
      <c r="C8" s="62"/>
      <c r="D8" s="62"/>
      <c r="E8" s="62"/>
    </row>
    <row r="9" spans="1:7" ht="12.75" customHeight="1" x14ac:dyDescent="0.2">
      <c r="A9" s="189" t="s">
        <v>308</v>
      </c>
      <c r="B9" s="189"/>
      <c r="C9" s="189"/>
      <c r="D9" s="196" t="s">
        <v>991</v>
      </c>
      <c r="E9" s="196"/>
      <c r="F9" s="196"/>
      <c r="G9" s="196"/>
    </row>
    <row r="10" spans="1:7" x14ac:dyDescent="0.2">
      <c r="A10" s="63"/>
      <c r="B10" s="63"/>
      <c r="C10" s="153"/>
      <c r="D10" s="64"/>
      <c r="E10" s="64"/>
      <c r="F10" s="64"/>
      <c r="G10" s="64"/>
    </row>
    <row r="11" spans="1:7" x14ac:dyDescent="0.2">
      <c r="A11" s="189" t="s">
        <v>309</v>
      </c>
      <c r="B11" s="189"/>
      <c r="C11" s="189"/>
      <c r="D11" s="196"/>
      <c r="E11" s="196"/>
      <c r="F11" s="196"/>
      <c r="G11" s="196"/>
    </row>
    <row r="12" spans="1:7" x14ac:dyDescent="0.2">
      <c r="D12" s="196"/>
      <c r="E12" s="196"/>
      <c r="F12" s="196"/>
      <c r="G12" s="196"/>
    </row>
    <row r="13" spans="1:7" ht="13.5" customHeight="1" x14ac:dyDescent="0.2">
      <c r="A13" s="189" t="s">
        <v>310</v>
      </c>
      <c r="B13" s="189"/>
      <c r="C13" s="189"/>
      <c r="D13" s="196"/>
      <c r="E13" s="196"/>
      <c r="F13" s="196"/>
      <c r="G13" s="196"/>
    </row>
    <row r="14" spans="1:7" ht="12" customHeight="1" x14ac:dyDescent="0.2">
      <c r="A14" s="153"/>
      <c r="B14" s="153"/>
      <c r="D14" s="196"/>
      <c r="E14" s="196"/>
      <c r="F14" s="196"/>
      <c r="G14" s="196"/>
    </row>
    <row r="15" spans="1:7" ht="42.75" hidden="1" customHeight="1" x14ac:dyDescent="0.2">
      <c r="A15" s="189"/>
      <c r="B15" s="210"/>
      <c r="C15" s="210"/>
      <c r="D15" s="210"/>
      <c r="E15" s="210"/>
      <c r="F15" s="210"/>
      <c r="G15" s="210"/>
    </row>
    <row r="16" spans="1:7" ht="12.75" customHeight="1" x14ac:dyDescent="0.2">
      <c r="A16" s="148"/>
      <c r="B16" s="156"/>
      <c r="C16" s="156"/>
      <c r="D16" s="156"/>
      <c r="E16" s="156"/>
      <c r="F16" s="156"/>
      <c r="G16" s="156"/>
    </row>
    <row r="17" spans="1:7" ht="12.75" customHeight="1" x14ac:dyDescent="0.2">
      <c r="A17" s="198" t="s">
        <v>218</v>
      </c>
      <c r="B17" s="198"/>
      <c r="C17" s="198"/>
      <c r="D17" s="198"/>
      <c r="E17" s="198"/>
      <c r="F17" s="198"/>
      <c r="G17" s="198"/>
    </row>
    <row r="18" spans="1:7" ht="32.25" customHeight="1" x14ac:dyDescent="0.2">
      <c r="A18" s="160" t="s">
        <v>108</v>
      </c>
      <c r="B18" s="160" t="s">
        <v>311</v>
      </c>
      <c r="C18" s="160" t="s">
        <v>312</v>
      </c>
      <c r="D18" s="160" t="s">
        <v>313</v>
      </c>
      <c r="E18" s="160" t="s">
        <v>314</v>
      </c>
      <c r="F18" s="160" t="s">
        <v>315</v>
      </c>
      <c r="G18" s="160" t="s">
        <v>114</v>
      </c>
    </row>
    <row r="19" spans="1:7" x14ac:dyDescent="0.2">
      <c r="A19" s="161">
        <v>1</v>
      </c>
      <c r="B19" s="162">
        <v>2</v>
      </c>
      <c r="C19" s="162">
        <v>3</v>
      </c>
      <c r="D19" s="162">
        <v>4</v>
      </c>
      <c r="E19" s="162">
        <v>5</v>
      </c>
      <c r="F19" s="162">
        <v>6</v>
      </c>
      <c r="G19" s="162">
        <v>7</v>
      </c>
    </row>
    <row r="20" spans="1:7" ht="12.75" customHeight="1" x14ac:dyDescent="0.2">
      <c r="A20" s="65" t="s">
        <v>6</v>
      </c>
      <c r="B20" s="66" t="s">
        <v>115</v>
      </c>
      <c r="C20" s="66"/>
      <c r="D20" s="66"/>
      <c r="E20" s="66" t="s">
        <v>316</v>
      </c>
      <c r="F20" s="66"/>
      <c r="G20" s="67"/>
    </row>
    <row r="21" spans="1:7" ht="229.5" customHeight="1" x14ac:dyDescent="0.2">
      <c r="A21" s="163" t="s">
        <v>117</v>
      </c>
      <c r="B21" s="164" t="s">
        <v>992</v>
      </c>
      <c r="C21" s="165" t="s">
        <v>993</v>
      </c>
      <c r="D21" s="165">
        <v>4</v>
      </c>
      <c r="E21" s="165" t="s">
        <v>994</v>
      </c>
      <c r="F21" s="165" t="s">
        <v>995</v>
      </c>
      <c r="G21" s="166">
        <f>ROUND(11.7  * 4 * 0.4,2)</f>
        <v>18.72</v>
      </c>
    </row>
    <row r="22" spans="1:7" ht="15.75" customHeight="1" x14ac:dyDescent="0.2">
      <c r="A22" s="167" t="s">
        <v>129</v>
      </c>
      <c r="B22" s="168" t="s">
        <v>130</v>
      </c>
      <c r="C22" s="168"/>
      <c r="D22" s="168"/>
      <c r="E22" s="168"/>
      <c r="F22" s="168"/>
      <c r="G22" s="169"/>
    </row>
    <row r="23" spans="1:7" ht="12.75" customHeight="1" x14ac:dyDescent="0.2">
      <c r="A23" s="74" t="s">
        <v>129</v>
      </c>
      <c r="B23" s="75" t="s">
        <v>321</v>
      </c>
      <c r="C23" s="75"/>
      <c r="D23" s="75"/>
      <c r="E23" s="75"/>
      <c r="F23" s="75"/>
      <c r="G23" s="76"/>
    </row>
    <row r="24" spans="1:7" ht="76.5" customHeight="1" x14ac:dyDescent="0.2">
      <c r="A24" s="96" t="s">
        <v>129</v>
      </c>
      <c r="B24" s="97" t="s">
        <v>996</v>
      </c>
      <c r="C24" s="97"/>
      <c r="D24" s="97"/>
      <c r="E24" s="97" t="s">
        <v>997</v>
      </c>
      <c r="F24" s="97"/>
      <c r="G24" s="80"/>
    </row>
    <row r="25" spans="1:7" ht="204" customHeight="1" x14ac:dyDescent="0.2">
      <c r="A25" s="206" t="s">
        <v>121</v>
      </c>
      <c r="B25" s="207" t="s">
        <v>998</v>
      </c>
      <c r="C25" s="202" t="s">
        <v>999</v>
      </c>
      <c r="D25" s="202">
        <v>2</v>
      </c>
      <c r="E25" s="202" t="s">
        <v>1000</v>
      </c>
      <c r="F25" s="202" t="s">
        <v>1001</v>
      </c>
      <c r="G25" s="205">
        <f>ROUND(6.9  * 2 * 5 * 0.9 * 1.2,2)</f>
        <v>74.52</v>
      </c>
    </row>
    <row r="26" spans="1:7" ht="12.75" customHeight="1" x14ac:dyDescent="0.2">
      <c r="A26" s="206"/>
      <c r="B26" s="207"/>
      <c r="C26" s="202"/>
      <c r="D26" s="202"/>
      <c r="E26" s="202"/>
      <c r="F26" s="202"/>
      <c r="G26" s="205"/>
    </row>
    <row r="27" spans="1:7" ht="15.75" customHeight="1" x14ac:dyDescent="0.2">
      <c r="A27" s="167" t="s">
        <v>129</v>
      </c>
      <c r="B27" s="168" t="s">
        <v>130</v>
      </c>
      <c r="C27" s="168"/>
      <c r="D27" s="168"/>
      <c r="E27" s="168"/>
      <c r="F27" s="168"/>
      <c r="G27" s="169"/>
    </row>
    <row r="28" spans="1:7" ht="12.75" customHeight="1" x14ac:dyDescent="0.2">
      <c r="A28" s="74" t="s">
        <v>129</v>
      </c>
      <c r="B28" s="75" t="s">
        <v>321</v>
      </c>
      <c r="C28" s="75"/>
      <c r="D28" s="75"/>
      <c r="E28" s="75"/>
      <c r="F28" s="75"/>
      <c r="G28" s="76"/>
    </row>
    <row r="29" spans="1:7" ht="38.25" customHeight="1" x14ac:dyDescent="0.2">
      <c r="A29" s="74" t="s">
        <v>129</v>
      </c>
      <c r="B29" s="75" t="s">
        <v>1002</v>
      </c>
      <c r="C29" s="75"/>
      <c r="D29" s="75"/>
      <c r="E29" s="75" t="s">
        <v>1003</v>
      </c>
      <c r="F29" s="75"/>
      <c r="G29" s="76"/>
    </row>
    <row r="30" spans="1:7" ht="102" customHeight="1" x14ac:dyDescent="0.2">
      <c r="A30" s="74" t="s">
        <v>129</v>
      </c>
      <c r="B30" s="75" t="s">
        <v>1004</v>
      </c>
      <c r="C30" s="75"/>
      <c r="D30" s="75"/>
      <c r="E30" s="75" t="s">
        <v>1005</v>
      </c>
      <c r="F30" s="75"/>
      <c r="G30" s="76"/>
    </row>
    <row r="31" spans="1:7" ht="63.75" customHeight="1" x14ac:dyDescent="0.2">
      <c r="A31" s="96" t="s">
        <v>129</v>
      </c>
      <c r="B31" s="97" t="s">
        <v>1006</v>
      </c>
      <c r="C31" s="97"/>
      <c r="D31" s="97"/>
      <c r="E31" s="97" t="s">
        <v>1007</v>
      </c>
      <c r="F31" s="97"/>
      <c r="G31" s="80"/>
    </row>
    <row r="32" spans="1:7" ht="229.5" customHeight="1" x14ac:dyDescent="0.2">
      <c r="A32" s="150" t="s">
        <v>123</v>
      </c>
      <c r="B32" s="151" t="s">
        <v>1008</v>
      </c>
      <c r="C32" s="152" t="s">
        <v>999</v>
      </c>
      <c r="D32" s="152">
        <v>2</v>
      </c>
      <c r="E32" s="152" t="s">
        <v>1009</v>
      </c>
      <c r="F32" s="152" t="s">
        <v>1010</v>
      </c>
      <c r="G32" s="149">
        <f>ROUND(37.7  * 2 * 10 * 0.9,2)</f>
        <v>678.6</v>
      </c>
    </row>
    <row r="33" spans="1:7" ht="15.75" customHeight="1" x14ac:dyDescent="0.2">
      <c r="A33" s="167" t="s">
        <v>129</v>
      </c>
      <c r="B33" s="168" t="s">
        <v>130</v>
      </c>
      <c r="C33" s="168"/>
      <c r="D33" s="168"/>
      <c r="E33" s="168"/>
      <c r="F33" s="168"/>
      <c r="G33" s="169"/>
    </row>
    <row r="34" spans="1:7" ht="12.75" customHeight="1" x14ac:dyDescent="0.2">
      <c r="A34" s="74" t="s">
        <v>129</v>
      </c>
      <c r="B34" s="75" t="s">
        <v>321</v>
      </c>
      <c r="C34" s="75"/>
      <c r="D34" s="75"/>
      <c r="E34" s="75"/>
      <c r="F34" s="75"/>
      <c r="G34" s="76"/>
    </row>
    <row r="35" spans="1:7" ht="38.25" customHeight="1" x14ac:dyDescent="0.2">
      <c r="A35" s="74" t="s">
        <v>129</v>
      </c>
      <c r="B35" s="75" t="s">
        <v>1002</v>
      </c>
      <c r="C35" s="75"/>
      <c r="D35" s="75"/>
      <c r="E35" s="75" t="s">
        <v>1011</v>
      </c>
      <c r="F35" s="75"/>
      <c r="G35" s="76"/>
    </row>
    <row r="36" spans="1:7" ht="63.75" customHeight="1" x14ac:dyDescent="0.2">
      <c r="A36" s="96" t="s">
        <v>129</v>
      </c>
      <c r="B36" s="97" t="s">
        <v>1012</v>
      </c>
      <c r="C36" s="97"/>
      <c r="D36" s="97"/>
      <c r="E36" s="97" t="s">
        <v>1013</v>
      </c>
      <c r="F36" s="97"/>
      <c r="G36" s="80"/>
    </row>
    <row r="37" spans="1:7" ht="229.5" customHeight="1" x14ac:dyDescent="0.2">
      <c r="A37" s="150" t="s">
        <v>230</v>
      </c>
      <c r="B37" s="151" t="s">
        <v>1014</v>
      </c>
      <c r="C37" s="152" t="s">
        <v>999</v>
      </c>
      <c r="D37" s="152">
        <v>2</v>
      </c>
      <c r="E37" s="152" t="s">
        <v>1015</v>
      </c>
      <c r="F37" s="152" t="s">
        <v>1016</v>
      </c>
      <c r="G37" s="149">
        <f>ROUND(7.6  * 2 * 0.5,2)</f>
        <v>7.6</v>
      </c>
    </row>
    <row r="38" spans="1:7" ht="15.75" customHeight="1" x14ac:dyDescent="0.2">
      <c r="A38" s="167" t="s">
        <v>129</v>
      </c>
      <c r="B38" s="168" t="s">
        <v>130</v>
      </c>
      <c r="C38" s="168"/>
      <c r="D38" s="168"/>
      <c r="E38" s="168"/>
      <c r="F38" s="168"/>
      <c r="G38" s="169"/>
    </row>
    <row r="39" spans="1:7" ht="12.75" customHeight="1" x14ac:dyDescent="0.2">
      <c r="A39" s="74" t="s">
        <v>129</v>
      </c>
      <c r="B39" s="75" t="s">
        <v>321</v>
      </c>
      <c r="C39" s="75"/>
      <c r="D39" s="75"/>
      <c r="E39" s="75"/>
      <c r="F39" s="75"/>
      <c r="G39" s="76"/>
    </row>
    <row r="40" spans="1:7" ht="51" customHeight="1" x14ac:dyDescent="0.2">
      <c r="A40" s="96" t="s">
        <v>129</v>
      </c>
      <c r="B40" s="97" t="s">
        <v>1017</v>
      </c>
      <c r="C40" s="97"/>
      <c r="D40" s="97"/>
      <c r="E40" s="97" t="s">
        <v>1018</v>
      </c>
      <c r="F40" s="97"/>
      <c r="G40" s="80"/>
    </row>
    <row r="41" spans="1:7" ht="229.5" customHeight="1" x14ac:dyDescent="0.2">
      <c r="A41" s="150" t="s">
        <v>365</v>
      </c>
      <c r="B41" s="151" t="s">
        <v>1019</v>
      </c>
      <c r="C41" s="152" t="s">
        <v>999</v>
      </c>
      <c r="D41" s="152">
        <v>1</v>
      </c>
      <c r="E41" s="152" t="s">
        <v>1020</v>
      </c>
      <c r="F41" s="152" t="s">
        <v>1021</v>
      </c>
      <c r="G41" s="149">
        <f>ROUND(4.6  * 1 * 0.5,2)</f>
        <v>2.2999999999999998</v>
      </c>
    </row>
    <row r="42" spans="1:7" ht="15.75" customHeight="1" x14ac:dyDescent="0.2">
      <c r="A42" s="167" t="s">
        <v>129</v>
      </c>
      <c r="B42" s="168" t="s">
        <v>130</v>
      </c>
      <c r="C42" s="168"/>
      <c r="D42" s="168"/>
      <c r="E42" s="168"/>
      <c r="F42" s="168"/>
      <c r="G42" s="169"/>
    </row>
    <row r="43" spans="1:7" ht="12.75" customHeight="1" x14ac:dyDescent="0.2">
      <c r="A43" s="74" t="s">
        <v>129</v>
      </c>
      <c r="B43" s="75" t="s">
        <v>321</v>
      </c>
      <c r="C43" s="75"/>
      <c r="D43" s="75"/>
      <c r="E43" s="75"/>
      <c r="F43" s="75"/>
      <c r="G43" s="76"/>
    </row>
    <row r="44" spans="1:7" ht="51" customHeight="1" x14ac:dyDescent="0.2">
      <c r="A44" s="96" t="s">
        <v>129</v>
      </c>
      <c r="B44" s="97" t="s">
        <v>1017</v>
      </c>
      <c r="C44" s="97"/>
      <c r="D44" s="97"/>
      <c r="E44" s="97" t="s">
        <v>1018</v>
      </c>
      <c r="F44" s="97"/>
      <c r="G44" s="80"/>
    </row>
    <row r="45" spans="1:7" ht="204" customHeight="1" x14ac:dyDescent="0.2">
      <c r="A45" s="206" t="s">
        <v>367</v>
      </c>
      <c r="B45" s="207" t="s">
        <v>1022</v>
      </c>
      <c r="C45" s="202" t="s">
        <v>999</v>
      </c>
      <c r="D45" s="202">
        <v>2</v>
      </c>
      <c r="E45" s="202" t="s">
        <v>1023</v>
      </c>
      <c r="F45" s="202" t="s">
        <v>1024</v>
      </c>
      <c r="G45" s="205">
        <f>ROUND(18.8  * 2 * 0.85,2)</f>
        <v>31.96</v>
      </c>
    </row>
    <row r="46" spans="1:7" ht="12.75" customHeight="1" x14ac:dyDescent="0.2">
      <c r="A46" s="206"/>
      <c r="B46" s="207"/>
      <c r="C46" s="202"/>
      <c r="D46" s="202"/>
      <c r="E46" s="202"/>
      <c r="F46" s="202"/>
      <c r="G46" s="205"/>
    </row>
    <row r="47" spans="1:7" ht="15.75" customHeight="1" x14ac:dyDescent="0.2">
      <c r="A47" s="167" t="s">
        <v>129</v>
      </c>
      <c r="B47" s="168" t="s">
        <v>130</v>
      </c>
      <c r="C47" s="168"/>
      <c r="D47" s="168"/>
      <c r="E47" s="168"/>
      <c r="F47" s="168"/>
      <c r="G47" s="169"/>
    </row>
    <row r="48" spans="1:7" ht="12.75" customHeight="1" x14ac:dyDescent="0.2">
      <c r="A48" s="74" t="s">
        <v>129</v>
      </c>
      <c r="B48" s="75" t="s">
        <v>321</v>
      </c>
      <c r="C48" s="75"/>
      <c r="D48" s="75"/>
      <c r="E48" s="75"/>
      <c r="F48" s="75"/>
      <c r="G48" s="76"/>
    </row>
    <row r="49" spans="1:7" ht="51" customHeight="1" x14ac:dyDescent="0.2">
      <c r="A49" s="96" t="s">
        <v>129</v>
      </c>
      <c r="B49" s="97" t="s">
        <v>1017</v>
      </c>
      <c r="C49" s="97"/>
      <c r="D49" s="97"/>
      <c r="E49" s="97" t="s">
        <v>1025</v>
      </c>
      <c r="F49" s="97"/>
      <c r="G49" s="80"/>
    </row>
    <row r="50" spans="1:7" ht="229.5" customHeight="1" x14ac:dyDescent="0.2">
      <c r="A50" s="150" t="s">
        <v>370</v>
      </c>
      <c r="B50" s="151" t="s">
        <v>1026</v>
      </c>
      <c r="C50" s="152" t="s">
        <v>999</v>
      </c>
      <c r="D50" s="152">
        <v>2</v>
      </c>
      <c r="E50" s="152" t="s">
        <v>1027</v>
      </c>
      <c r="F50" s="152" t="s">
        <v>1028</v>
      </c>
      <c r="G50" s="149">
        <f>ROUND(9.7  * 2,2)</f>
        <v>19.399999999999999</v>
      </c>
    </row>
    <row r="51" spans="1:7" ht="15.75" customHeight="1" x14ac:dyDescent="0.2">
      <c r="A51" s="167" t="s">
        <v>129</v>
      </c>
      <c r="B51" s="168" t="s">
        <v>130</v>
      </c>
      <c r="C51" s="168"/>
      <c r="D51" s="168"/>
      <c r="E51" s="168"/>
      <c r="F51" s="168"/>
      <c r="G51" s="169"/>
    </row>
    <row r="52" spans="1:7" ht="12.75" customHeight="1" x14ac:dyDescent="0.2">
      <c r="A52" s="96" t="s">
        <v>129</v>
      </c>
      <c r="B52" s="97" t="s">
        <v>321</v>
      </c>
      <c r="C52" s="97"/>
      <c r="D52" s="97"/>
      <c r="E52" s="97"/>
      <c r="F52" s="97"/>
      <c r="G52" s="80"/>
    </row>
    <row r="53" spans="1:7" ht="12.75" customHeight="1" x14ac:dyDescent="0.2">
      <c r="A53" s="96" t="s">
        <v>371</v>
      </c>
      <c r="B53" s="83" t="s">
        <v>324</v>
      </c>
      <c r="C53" s="83"/>
      <c r="D53" s="83"/>
      <c r="E53" s="83"/>
      <c r="F53" s="83"/>
      <c r="G53" s="84">
        <f>ROUND((SUM($G$21:$G$50)),2)</f>
        <v>833.1</v>
      </c>
    </row>
    <row r="54" spans="1:7" ht="51" customHeight="1" x14ac:dyDescent="0.2">
      <c r="A54" s="65" t="s">
        <v>375</v>
      </c>
      <c r="B54" s="68" t="s">
        <v>1029</v>
      </c>
      <c r="C54" s="68"/>
      <c r="D54" s="68"/>
      <c r="E54" s="68" t="s">
        <v>1030</v>
      </c>
      <c r="F54" s="68" t="s">
        <v>1031</v>
      </c>
      <c r="G54" s="69">
        <f>ROUND(($G$53) * 0.25 * 1,2)</f>
        <v>208.28</v>
      </c>
    </row>
    <row r="55" spans="1:7" ht="25.5" customHeight="1" x14ac:dyDescent="0.2">
      <c r="A55" s="65" t="s">
        <v>379</v>
      </c>
      <c r="B55" s="66" t="s">
        <v>325</v>
      </c>
      <c r="C55" s="66"/>
      <c r="D55" s="66"/>
      <c r="E55" s="66"/>
      <c r="F55" s="66"/>
      <c r="G55" s="70">
        <f>ROUND((SUM($G$53:$G$54)),2)</f>
        <v>1041.3800000000001</v>
      </c>
    </row>
    <row r="56" spans="1:7" ht="12.75" customHeight="1" x14ac:dyDescent="0.2">
      <c r="A56" s="65" t="s">
        <v>7</v>
      </c>
      <c r="B56" s="66" t="s">
        <v>115</v>
      </c>
      <c r="C56" s="66"/>
      <c r="D56" s="66"/>
      <c r="E56" s="66" t="s">
        <v>326</v>
      </c>
      <c r="F56" s="66"/>
      <c r="G56" s="67"/>
    </row>
    <row r="57" spans="1:7" ht="216.75" customHeight="1" x14ac:dyDescent="0.2">
      <c r="A57" s="279" t="s">
        <v>125</v>
      </c>
      <c r="B57" s="280" t="s">
        <v>1032</v>
      </c>
      <c r="C57" s="281" t="s">
        <v>385</v>
      </c>
      <c r="D57" s="281">
        <v>10</v>
      </c>
      <c r="E57" s="281" t="s">
        <v>1033</v>
      </c>
      <c r="F57" s="281" t="s">
        <v>1034</v>
      </c>
      <c r="G57" s="282">
        <f>ROUND(162.1  * 10,2)</f>
        <v>1621</v>
      </c>
    </row>
    <row r="58" spans="1:7" ht="12.75" customHeight="1" x14ac:dyDescent="0.2">
      <c r="A58" s="206"/>
      <c r="B58" s="207"/>
      <c r="C58" s="202"/>
      <c r="D58" s="202"/>
      <c r="E58" s="202"/>
      <c r="F58" s="202"/>
      <c r="G58" s="205"/>
    </row>
    <row r="59" spans="1:7" ht="15.75" customHeight="1" x14ac:dyDescent="0.2">
      <c r="A59" s="167" t="s">
        <v>129</v>
      </c>
      <c r="B59" s="168" t="s">
        <v>130</v>
      </c>
      <c r="C59" s="168"/>
      <c r="D59" s="168"/>
      <c r="E59" s="168"/>
      <c r="F59" s="168"/>
      <c r="G59" s="169"/>
    </row>
    <row r="60" spans="1:7" ht="12.75" customHeight="1" x14ac:dyDescent="0.2">
      <c r="A60" s="96" t="s">
        <v>129</v>
      </c>
      <c r="B60" s="97" t="s">
        <v>321</v>
      </c>
      <c r="C60" s="97"/>
      <c r="D60" s="97"/>
      <c r="E60" s="97"/>
      <c r="F60" s="97"/>
      <c r="G60" s="80"/>
    </row>
    <row r="61" spans="1:7" ht="165.75" customHeight="1" x14ac:dyDescent="0.2">
      <c r="A61" s="150" t="s">
        <v>139</v>
      </c>
      <c r="B61" s="151" t="s">
        <v>1035</v>
      </c>
      <c r="C61" s="152" t="s">
        <v>385</v>
      </c>
      <c r="D61" s="152">
        <v>10</v>
      </c>
      <c r="E61" s="152" t="s">
        <v>1036</v>
      </c>
      <c r="F61" s="152" t="s">
        <v>1037</v>
      </c>
      <c r="G61" s="149">
        <f>ROUND(95.8  * 10,2)</f>
        <v>958</v>
      </c>
    </row>
    <row r="62" spans="1:7" ht="15.75" customHeight="1" x14ac:dyDescent="0.2">
      <c r="A62" s="167" t="s">
        <v>129</v>
      </c>
      <c r="B62" s="168" t="s">
        <v>130</v>
      </c>
      <c r="C62" s="168"/>
      <c r="D62" s="168"/>
      <c r="E62" s="168"/>
      <c r="F62" s="168"/>
      <c r="G62" s="169"/>
    </row>
    <row r="63" spans="1:7" ht="12.75" customHeight="1" x14ac:dyDescent="0.2">
      <c r="A63" s="96" t="s">
        <v>129</v>
      </c>
      <c r="B63" s="97" t="s">
        <v>321</v>
      </c>
      <c r="C63" s="97"/>
      <c r="D63" s="97"/>
      <c r="E63" s="97"/>
      <c r="F63" s="97"/>
      <c r="G63" s="80"/>
    </row>
    <row r="64" spans="1:7" ht="344.25" customHeight="1" x14ac:dyDescent="0.2">
      <c r="A64" s="206" t="s">
        <v>145</v>
      </c>
      <c r="B64" s="207" t="s">
        <v>1038</v>
      </c>
      <c r="C64" s="202" t="s">
        <v>999</v>
      </c>
      <c r="D64" s="202">
        <v>3</v>
      </c>
      <c r="E64" s="202" t="s">
        <v>1039</v>
      </c>
      <c r="F64" s="202" t="s">
        <v>1040</v>
      </c>
      <c r="G64" s="205">
        <f>ROUND(256.9  * 3,2)</f>
        <v>770.7</v>
      </c>
    </row>
    <row r="65" spans="1:7" ht="12.75" customHeight="1" x14ac:dyDescent="0.2">
      <c r="A65" s="206"/>
      <c r="B65" s="207"/>
      <c r="C65" s="202"/>
      <c r="D65" s="202"/>
      <c r="E65" s="202"/>
      <c r="F65" s="202"/>
      <c r="G65" s="205"/>
    </row>
    <row r="66" spans="1:7" ht="15.75" customHeight="1" x14ac:dyDescent="0.2">
      <c r="A66" s="167" t="s">
        <v>129</v>
      </c>
      <c r="B66" s="168" t="s">
        <v>130</v>
      </c>
      <c r="C66" s="168"/>
      <c r="D66" s="168"/>
      <c r="E66" s="168"/>
      <c r="F66" s="168"/>
      <c r="G66" s="169"/>
    </row>
    <row r="67" spans="1:7" ht="12.75" customHeight="1" x14ac:dyDescent="0.2">
      <c r="A67" s="96" t="s">
        <v>129</v>
      </c>
      <c r="B67" s="97" t="s">
        <v>321</v>
      </c>
      <c r="C67" s="97"/>
      <c r="D67" s="97"/>
      <c r="E67" s="97"/>
      <c r="F67" s="97"/>
      <c r="G67" s="80"/>
    </row>
    <row r="68" spans="1:7" ht="25.5" customHeight="1" x14ac:dyDescent="0.2">
      <c r="A68" s="96" t="s">
        <v>147</v>
      </c>
      <c r="B68" s="83" t="s">
        <v>327</v>
      </c>
      <c r="C68" s="83"/>
      <c r="D68" s="83"/>
      <c r="E68" s="83"/>
      <c r="F68" s="83"/>
      <c r="G68" s="84">
        <f>ROUND((SUM($G$57:$G$64)),2)</f>
        <v>3349.7</v>
      </c>
    </row>
    <row r="69" spans="1:7" ht="25.5" customHeight="1" x14ac:dyDescent="0.2">
      <c r="A69" s="65" t="s">
        <v>240</v>
      </c>
      <c r="B69" s="66" t="s">
        <v>328</v>
      </c>
      <c r="C69" s="66"/>
      <c r="D69" s="66"/>
      <c r="E69" s="66"/>
      <c r="F69" s="66"/>
      <c r="G69" s="70">
        <f>ROUND(($G$68),2)</f>
        <v>3349.7</v>
      </c>
    </row>
    <row r="70" spans="1:7" ht="12.75" customHeight="1" x14ac:dyDescent="0.2">
      <c r="A70" s="65" t="s">
        <v>23</v>
      </c>
      <c r="B70" s="66" t="s">
        <v>115</v>
      </c>
      <c r="C70" s="66"/>
      <c r="D70" s="66"/>
      <c r="E70" s="66" t="s">
        <v>329</v>
      </c>
      <c r="F70" s="66"/>
      <c r="G70" s="67"/>
    </row>
    <row r="71" spans="1:7" ht="140.25" customHeight="1" x14ac:dyDescent="0.2">
      <c r="A71" s="163" t="s">
        <v>149</v>
      </c>
      <c r="B71" s="164" t="s">
        <v>1041</v>
      </c>
      <c r="C71" s="165" t="s">
        <v>1042</v>
      </c>
      <c r="D71" s="165">
        <v>1</v>
      </c>
      <c r="E71" s="165" t="s">
        <v>1043</v>
      </c>
      <c r="F71" s="165" t="s">
        <v>1044</v>
      </c>
      <c r="G71" s="166">
        <f>ROUND(800  * 1 * 1.25,2)</f>
        <v>1000</v>
      </c>
    </row>
    <row r="72" spans="1:7" ht="15.75" customHeight="1" x14ac:dyDescent="0.2">
      <c r="A72" s="167" t="s">
        <v>129</v>
      </c>
      <c r="B72" s="168" t="s">
        <v>130</v>
      </c>
      <c r="C72" s="168"/>
      <c r="D72" s="168"/>
      <c r="E72" s="168"/>
      <c r="F72" s="168"/>
      <c r="G72" s="169"/>
    </row>
    <row r="73" spans="1:7" ht="12.75" customHeight="1" x14ac:dyDescent="0.2">
      <c r="A73" s="74" t="s">
        <v>129</v>
      </c>
      <c r="B73" s="75" t="s">
        <v>321</v>
      </c>
      <c r="C73" s="75"/>
      <c r="D73" s="75"/>
      <c r="E73" s="75"/>
      <c r="F73" s="75"/>
      <c r="G73" s="76"/>
    </row>
    <row r="74" spans="1:7" ht="63.75" customHeight="1" x14ac:dyDescent="0.2">
      <c r="A74" s="96" t="s">
        <v>129</v>
      </c>
      <c r="B74" s="97" t="s">
        <v>1045</v>
      </c>
      <c r="C74" s="97"/>
      <c r="D74" s="97"/>
      <c r="E74" s="97" t="s">
        <v>1046</v>
      </c>
      <c r="F74" s="97"/>
      <c r="G74" s="80"/>
    </row>
    <row r="75" spans="1:7" ht="229.5" customHeight="1" x14ac:dyDescent="0.2">
      <c r="A75" s="150" t="s">
        <v>160</v>
      </c>
      <c r="B75" s="151" t="s">
        <v>992</v>
      </c>
      <c r="C75" s="152" t="s">
        <v>993</v>
      </c>
      <c r="D75" s="152">
        <v>4</v>
      </c>
      <c r="E75" s="152" t="s">
        <v>1047</v>
      </c>
      <c r="F75" s="152" t="s">
        <v>1048</v>
      </c>
      <c r="G75" s="149">
        <f>ROUND(7.5  * 4 * 0.4,2)</f>
        <v>12</v>
      </c>
    </row>
    <row r="76" spans="1:7" ht="15.75" customHeight="1" x14ac:dyDescent="0.2">
      <c r="A76" s="167" t="s">
        <v>129</v>
      </c>
      <c r="B76" s="168" t="s">
        <v>130</v>
      </c>
      <c r="C76" s="168"/>
      <c r="D76" s="168"/>
      <c r="E76" s="168"/>
      <c r="F76" s="168"/>
      <c r="G76" s="169"/>
    </row>
    <row r="77" spans="1:7" ht="12.75" customHeight="1" x14ac:dyDescent="0.2">
      <c r="A77" s="74" t="s">
        <v>129</v>
      </c>
      <c r="B77" s="75" t="s">
        <v>321</v>
      </c>
      <c r="C77" s="75"/>
      <c r="D77" s="75"/>
      <c r="E77" s="75"/>
      <c r="F77" s="75"/>
      <c r="G77" s="76"/>
    </row>
    <row r="78" spans="1:7" ht="76.5" customHeight="1" x14ac:dyDescent="0.2">
      <c r="A78" s="96" t="s">
        <v>129</v>
      </c>
      <c r="B78" s="97" t="s">
        <v>996</v>
      </c>
      <c r="C78" s="97"/>
      <c r="D78" s="97"/>
      <c r="E78" s="97" t="s">
        <v>997</v>
      </c>
      <c r="F78" s="97"/>
      <c r="G78" s="80"/>
    </row>
    <row r="79" spans="1:7" ht="25.5" customHeight="1" x14ac:dyDescent="0.2">
      <c r="A79" s="96" t="s">
        <v>166</v>
      </c>
      <c r="B79" s="83" t="s">
        <v>332</v>
      </c>
      <c r="C79" s="83"/>
      <c r="D79" s="83"/>
      <c r="E79" s="83"/>
      <c r="F79" s="83"/>
      <c r="G79" s="84">
        <f>ROUND((SUM($G$71:$G$75)),2)</f>
        <v>1012</v>
      </c>
    </row>
    <row r="80" spans="1:7" ht="63.75" customHeight="1" x14ac:dyDescent="0.2">
      <c r="A80" s="65" t="s">
        <v>171</v>
      </c>
      <c r="B80" s="68" t="s">
        <v>1049</v>
      </c>
      <c r="C80" s="68"/>
      <c r="D80" s="68"/>
      <c r="E80" s="68" t="s">
        <v>1050</v>
      </c>
      <c r="F80" s="68" t="s">
        <v>1051</v>
      </c>
      <c r="G80" s="69">
        <f>ROUND((SUM($G$57:$G$61)) * 12 / 100 * 1,2)</f>
        <v>309.48</v>
      </c>
    </row>
    <row r="81" spans="1:7" ht="76.5" customHeight="1" x14ac:dyDescent="0.2">
      <c r="A81" s="65" t="s">
        <v>180</v>
      </c>
      <c r="B81" s="68" t="s">
        <v>1052</v>
      </c>
      <c r="C81" s="68"/>
      <c r="D81" s="68"/>
      <c r="E81" s="68" t="s">
        <v>1053</v>
      </c>
      <c r="F81" s="68" t="s">
        <v>1054</v>
      </c>
      <c r="G81" s="69">
        <f>ROUND(($G$64) * 15 / 100 * 1,2)</f>
        <v>115.61</v>
      </c>
    </row>
    <row r="82" spans="1:7" ht="102" customHeight="1" x14ac:dyDescent="0.2">
      <c r="A82" s="65" t="s">
        <v>184</v>
      </c>
      <c r="B82" s="68" t="s">
        <v>1055</v>
      </c>
      <c r="C82" s="68"/>
      <c r="D82" s="68"/>
      <c r="E82" s="68" t="s">
        <v>1056</v>
      </c>
      <c r="F82" s="68" t="s">
        <v>1057</v>
      </c>
      <c r="G82" s="69">
        <f>ROUND((SUM($G$79:$G$81)) * 21 / 100 * 1,2)</f>
        <v>301.79000000000002</v>
      </c>
    </row>
    <row r="83" spans="1:7" ht="25.5" customHeight="1" x14ac:dyDescent="0.2">
      <c r="A83" s="65" t="s">
        <v>187</v>
      </c>
      <c r="B83" s="66" t="s">
        <v>335</v>
      </c>
      <c r="C83" s="66"/>
      <c r="D83" s="66"/>
      <c r="E83" s="66"/>
      <c r="F83" s="66"/>
      <c r="G83" s="70">
        <f>ROUND((SUM($G$79:$G$82)),2)</f>
        <v>1738.88</v>
      </c>
    </row>
    <row r="84" spans="1:7" ht="12.75" customHeight="1" x14ac:dyDescent="0.2">
      <c r="A84" s="65" t="s">
        <v>24</v>
      </c>
      <c r="B84" s="66" t="s">
        <v>115</v>
      </c>
      <c r="C84" s="66"/>
      <c r="D84" s="66"/>
      <c r="E84" s="66" t="s">
        <v>336</v>
      </c>
      <c r="F84" s="66"/>
      <c r="G84" s="67"/>
    </row>
    <row r="85" spans="1:7" ht="76.5" customHeight="1" x14ac:dyDescent="0.2">
      <c r="A85" s="65" t="s">
        <v>289</v>
      </c>
      <c r="B85" s="68" t="s">
        <v>372</v>
      </c>
      <c r="C85" s="68"/>
      <c r="D85" s="68"/>
      <c r="E85" s="68" t="s">
        <v>373</v>
      </c>
      <c r="F85" s="68" t="s">
        <v>1058</v>
      </c>
      <c r="G85" s="69">
        <f>ROUND(($G$55) * 8.75 / 100 * 1,2)</f>
        <v>91.12</v>
      </c>
    </row>
    <row r="86" spans="1:7" ht="89.25" customHeight="1" x14ac:dyDescent="0.2">
      <c r="A86" s="65" t="s">
        <v>291</v>
      </c>
      <c r="B86" s="68" t="s">
        <v>376</v>
      </c>
      <c r="C86" s="68"/>
      <c r="D86" s="68"/>
      <c r="E86" s="68" t="s">
        <v>377</v>
      </c>
      <c r="F86" s="68" t="s">
        <v>1059</v>
      </c>
      <c r="G86" s="69">
        <f>ROUND(($G$55 + $G$85) * 36.4 / 100 * 1,2)</f>
        <v>412.23</v>
      </c>
    </row>
    <row r="87" spans="1:7" ht="165.75" customHeight="1" x14ac:dyDescent="0.2">
      <c r="A87" s="65" t="s">
        <v>292</v>
      </c>
      <c r="B87" s="68" t="s">
        <v>341</v>
      </c>
      <c r="C87" s="68"/>
      <c r="D87" s="68"/>
      <c r="E87" s="68" t="s">
        <v>381</v>
      </c>
      <c r="F87" s="68" t="s">
        <v>1060</v>
      </c>
      <c r="G87" s="69">
        <f>ROUND(($G$55 + $G$85) * 2.5 * 1 * 6 / 100 * 1,2)</f>
        <v>169.88</v>
      </c>
    </row>
    <row r="88" spans="1:7" ht="12.75" customHeight="1" x14ac:dyDescent="0.2">
      <c r="A88" s="65" t="s">
        <v>293</v>
      </c>
      <c r="B88" s="66" t="s">
        <v>343</v>
      </c>
      <c r="C88" s="66"/>
      <c r="D88" s="66"/>
      <c r="E88" s="66"/>
      <c r="F88" s="66"/>
      <c r="G88" s="70">
        <f>ROUND((SUM($G$85:$G$87)),2)</f>
        <v>673.23</v>
      </c>
    </row>
    <row r="89" spans="1:7" ht="12.75" customHeight="1" x14ac:dyDescent="0.2">
      <c r="A89" s="65" t="s">
        <v>25</v>
      </c>
      <c r="B89" s="66" t="s">
        <v>213</v>
      </c>
      <c r="C89" s="66"/>
      <c r="D89" s="66"/>
      <c r="E89" s="66"/>
      <c r="F89" s="66"/>
      <c r="G89" s="70">
        <f>ROUND(($G$55 + $G$69 + $G$83 + $G$88),2)</f>
        <v>6803.19</v>
      </c>
    </row>
    <row r="90" spans="1:7" ht="51" customHeight="1" x14ac:dyDescent="0.2">
      <c r="A90" s="65" t="s">
        <v>26</v>
      </c>
      <c r="B90" s="68" t="s">
        <v>406</v>
      </c>
      <c r="C90" s="68"/>
      <c r="D90" s="68"/>
      <c r="E90" s="68" t="s">
        <v>348</v>
      </c>
      <c r="F90" s="68" t="s">
        <v>1061</v>
      </c>
      <c r="G90" s="69">
        <f>ROUND(($G$89) * 54.75 * 1,2)</f>
        <v>372474.65</v>
      </c>
    </row>
    <row r="91" spans="1:7" ht="12.75" customHeight="1" x14ac:dyDescent="0.2">
      <c r="A91" s="65" t="s">
        <v>27</v>
      </c>
      <c r="B91" s="66" t="s">
        <v>214</v>
      </c>
      <c r="C91" s="66"/>
      <c r="D91" s="66"/>
      <c r="E91" s="66"/>
      <c r="F91" s="66"/>
      <c r="G91" s="70">
        <f>ROUND(($G$90),2)</f>
        <v>372474.65</v>
      </c>
    </row>
    <row r="92" spans="1:7" ht="12.75" customHeight="1" x14ac:dyDescent="0.2"/>
    <row r="95" spans="1:7" s="156" customFormat="1" ht="24.95" customHeight="1" x14ac:dyDescent="0.25">
      <c r="A95" s="189" t="s">
        <v>215</v>
      </c>
      <c r="B95" s="189"/>
      <c r="C95" s="189"/>
      <c r="D95" s="189"/>
      <c r="E95" s="189"/>
      <c r="F95" s="189"/>
      <c r="G95" s="189"/>
    </row>
  </sheetData>
  <mergeCells count="44">
    <mergeCell ref="G64:G65"/>
    <mergeCell ref="A95:B95"/>
    <mergeCell ref="C95:G95"/>
    <mergeCell ref="A64:A65"/>
    <mergeCell ref="B64:B65"/>
    <mergeCell ref="C64:C65"/>
    <mergeCell ref="D64:D65"/>
    <mergeCell ref="E64:E65"/>
    <mergeCell ref="F64:F65"/>
    <mergeCell ref="G45:G46"/>
    <mergeCell ref="A57:A58"/>
    <mergeCell ref="B57:B58"/>
    <mergeCell ref="C57:C58"/>
    <mergeCell ref="D57:D58"/>
    <mergeCell ref="E57:E58"/>
    <mergeCell ref="F57:F58"/>
    <mergeCell ref="G57:G58"/>
    <mergeCell ref="A45:A46"/>
    <mergeCell ref="B45:B46"/>
    <mergeCell ref="C45:C46"/>
    <mergeCell ref="D45:D46"/>
    <mergeCell ref="E45:E46"/>
    <mergeCell ref="F45:F46"/>
    <mergeCell ref="A15:G15"/>
    <mergeCell ref="A17:G17"/>
    <mergeCell ref="A25:A26"/>
    <mergeCell ref="B25:B26"/>
    <mergeCell ref="C25:C26"/>
    <mergeCell ref="D25:D26"/>
    <mergeCell ref="E25:E26"/>
    <mergeCell ref="F25:F26"/>
    <mergeCell ref="G25:G26"/>
    <mergeCell ref="A9:C9"/>
    <mergeCell ref="D9:G9"/>
    <mergeCell ref="A11:C11"/>
    <mergeCell ref="D11:G12"/>
    <mergeCell ref="A13:C13"/>
    <mergeCell ref="D13:G14"/>
    <mergeCell ref="A1:B1"/>
    <mergeCell ref="C1:G1"/>
    <mergeCell ref="B4:F4"/>
    <mergeCell ref="B5:F5"/>
    <mergeCell ref="A7:C7"/>
    <mergeCell ref="D7:G7"/>
  </mergeCells>
  <pageMargins left="0.39374999999999999" right="0.39374999999999999" top="0.59027777777777779" bottom="0.82777777777777783" header="0.51180555555555562" footer="0.59027777777777779"/>
  <pageSetup paperSize="9" scale="99" orientation="portrait" useFirstPageNumber="1" horizontalDpi="300" verticalDpi="300" r:id="rId1"/>
  <headerFooter alignWithMargins="0">
    <oddFooter>&amp;CСтраница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E4466-AAD8-4E82-A34A-82D5D2B8D517}">
  <dimension ref="A1:I66"/>
  <sheetViews>
    <sheetView topLeftCell="A58" workbookViewId="0">
      <selection activeCell="D65" sqref="D65:I65"/>
    </sheetView>
  </sheetViews>
  <sheetFormatPr defaultColWidth="11.5703125" defaultRowHeight="12.75" x14ac:dyDescent="0.2"/>
  <cols>
    <col min="1" max="1" width="3.7109375" style="157" customWidth="1"/>
    <col min="2" max="2" width="10.7109375" style="157" customWidth="1"/>
    <col min="3" max="3" width="15.5703125" style="157" customWidth="1"/>
    <col min="4" max="4" width="4.42578125" style="157" customWidth="1"/>
    <col min="5" max="7" width="9.28515625" style="157" customWidth="1"/>
    <col min="8" max="8" width="19.7109375" style="157" customWidth="1"/>
    <col min="9" max="9" width="14.7109375" style="157" customWidth="1"/>
    <col min="10" max="10" width="19.7109375" style="58" customWidth="1"/>
    <col min="11" max="16384" width="11.5703125" style="58"/>
  </cols>
  <sheetData>
    <row r="1" spans="1:9" ht="38.25" customHeight="1" x14ac:dyDescent="0.2">
      <c r="A1" s="208" t="s">
        <v>99</v>
      </c>
      <c r="B1" s="208"/>
      <c r="C1" s="208"/>
      <c r="D1" s="192" t="s">
        <v>1100</v>
      </c>
      <c r="E1" s="192"/>
      <c r="F1" s="192"/>
      <c r="G1" s="192"/>
      <c r="H1" s="192"/>
      <c r="I1" s="192"/>
    </row>
    <row r="2" spans="1:9" x14ac:dyDescent="0.2">
      <c r="A2" s="59"/>
      <c r="B2" s="59"/>
      <c r="C2" s="59"/>
      <c r="D2" s="60"/>
      <c r="E2" s="60"/>
      <c r="F2" s="60"/>
      <c r="G2" s="60"/>
      <c r="H2" s="60"/>
      <c r="I2" s="60"/>
    </row>
    <row r="3" spans="1:9" x14ac:dyDescent="0.2">
      <c r="A3" s="193" t="s">
        <v>1062</v>
      </c>
      <c r="B3" s="193"/>
      <c r="C3" s="193"/>
      <c r="D3" s="193"/>
      <c r="E3" s="193"/>
      <c r="F3" s="193"/>
      <c r="G3" s="193"/>
      <c r="H3" s="193"/>
      <c r="I3" s="193"/>
    </row>
    <row r="4" spans="1:9" x14ac:dyDescent="0.2">
      <c r="A4" s="209" t="s">
        <v>101</v>
      </c>
      <c r="B4" s="209"/>
      <c r="C4" s="209"/>
      <c r="D4" s="209"/>
      <c r="E4" s="209"/>
      <c r="F4" s="209"/>
      <c r="G4" s="209"/>
      <c r="H4" s="209"/>
      <c r="I4" s="209"/>
    </row>
    <row r="5" spans="1:9" x14ac:dyDescent="0.2">
      <c r="A5" s="155"/>
      <c r="B5" s="155"/>
      <c r="C5" s="155"/>
      <c r="D5" s="155"/>
      <c r="E5" s="155"/>
      <c r="F5" s="155"/>
      <c r="G5" s="155"/>
      <c r="H5" s="155"/>
      <c r="I5" s="155"/>
    </row>
    <row r="6" spans="1:9" ht="51" customHeight="1" x14ac:dyDescent="0.2">
      <c r="A6" s="210" t="s">
        <v>102</v>
      </c>
      <c r="B6" s="210"/>
      <c r="C6" s="210"/>
      <c r="D6" s="189" t="s">
        <v>87</v>
      </c>
      <c r="E6" s="189"/>
      <c r="F6" s="189"/>
      <c r="G6" s="189"/>
      <c r="H6" s="189"/>
      <c r="I6" s="189"/>
    </row>
    <row r="7" spans="1:9" ht="3.75" customHeight="1" x14ac:dyDescent="0.2">
      <c r="D7" s="59"/>
      <c r="E7" s="59"/>
      <c r="F7" s="59"/>
      <c r="G7" s="59"/>
    </row>
    <row r="8" spans="1:9" ht="66" customHeight="1" x14ac:dyDescent="0.2">
      <c r="A8" s="189" t="s">
        <v>103</v>
      </c>
      <c r="B8" s="189"/>
      <c r="C8" s="189"/>
      <c r="D8" s="196" t="s">
        <v>1063</v>
      </c>
      <c r="E8" s="196"/>
      <c r="F8" s="196"/>
      <c r="G8" s="196"/>
      <c r="H8" s="196"/>
      <c r="I8" s="196"/>
    </row>
    <row r="9" spans="1:9" ht="3.95" customHeight="1" x14ac:dyDescent="0.2">
      <c r="A9" s="153"/>
      <c r="B9" s="153"/>
      <c r="C9" s="153"/>
    </row>
    <row r="10" spans="1:9" ht="41.25" customHeight="1" x14ac:dyDescent="0.2">
      <c r="A10" s="189" t="s">
        <v>105</v>
      </c>
      <c r="B10" s="189"/>
      <c r="C10" s="189"/>
      <c r="D10" s="189"/>
      <c r="E10" s="189"/>
      <c r="F10" s="189"/>
      <c r="G10" s="189"/>
      <c r="H10" s="189"/>
      <c r="I10" s="189"/>
    </row>
    <row r="11" spans="1:9" ht="3.95" customHeight="1" x14ac:dyDescent="0.2"/>
    <row r="12" spans="1:9" ht="30" customHeight="1" x14ac:dyDescent="0.2">
      <c r="A12" s="189" t="s">
        <v>106</v>
      </c>
      <c r="B12" s="189"/>
      <c r="C12" s="189"/>
      <c r="D12" s="189"/>
      <c r="E12" s="189"/>
      <c r="F12" s="189"/>
      <c r="G12" s="189"/>
      <c r="H12" s="189"/>
      <c r="I12" s="189"/>
    </row>
    <row r="13" spans="1:9" ht="3.75" customHeight="1" x14ac:dyDescent="0.2">
      <c r="A13" s="153"/>
      <c r="B13" s="153"/>
      <c r="C13" s="153"/>
      <c r="D13" s="63"/>
      <c r="E13" s="63"/>
      <c r="F13" s="63"/>
      <c r="G13" s="63"/>
      <c r="H13" s="153"/>
      <c r="I13" s="153"/>
    </row>
    <row r="14" spans="1:9" ht="25.5" customHeight="1" x14ac:dyDescent="0.2">
      <c r="A14" s="189" t="s">
        <v>1064</v>
      </c>
      <c r="B14" s="189"/>
      <c r="C14" s="189"/>
      <c r="D14" s="189"/>
      <c r="E14" s="189"/>
      <c r="F14" s="189"/>
      <c r="G14" s="189"/>
      <c r="H14" s="189"/>
      <c r="I14" s="189"/>
    </row>
    <row r="15" spans="1:9" ht="12.75" customHeight="1" x14ac:dyDescent="0.2">
      <c r="A15" s="198" t="s">
        <v>218</v>
      </c>
      <c r="B15" s="198"/>
      <c r="C15" s="198"/>
      <c r="D15" s="198"/>
      <c r="E15" s="198"/>
      <c r="F15" s="198"/>
      <c r="G15" s="198"/>
      <c r="H15" s="198"/>
      <c r="I15" s="198"/>
    </row>
    <row r="16" spans="1:9" ht="100.5" customHeight="1" x14ac:dyDescent="0.2">
      <c r="A16" s="170" t="s">
        <v>108</v>
      </c>
      <c r="B16" s="283" t="s">
        <v>109</v>
      </c>
      <c r="C16" s="284"/>
      <c r="D16" s="283" t="s">
        <v>110</v>
      </c>
      <c r="E16" s="285"/>
      <c r="F16" s="285"/>
      <c r="G16" s="284"/>
      <c r="H16" s="171" t="s">
        <v>113</v>
      </c>
      <c r="I16" s="170" t="s">
        <v>114</v>
      </c>
    </row>
    <row r="17" spans="1:9" x14ac:dyDescent="0.2">
      <c r="A17" s="161" t="s">
        <v>6</v>
      </c>
      <c r="B17" s="286">
        <v>2</v>
      </c>
      <c r="C17" s="287"/>
      <c r="D17" s="286">
        <v>3</v>
      </c>
      <c r="E17" s="288"/>
      <c r="F17" s="288"/>
      <c r="G17" s="287"/>
      <c r="H17" s="162">
        <v>4</v>
      </c>
      <c r="I17" s="162">
        <v>5</v>
      </c>
    </row>
    <row r="18" spans="1:9" ht="145.35" customHeight="1" x14ac:dyDescent="0.2">
      <c r="A18" s="163" t="s">
        <v>6</v>
      </c>
      <c r="B18" s="289" t="s">
        <v>1065</v>
      </c>
      <c r="C18" s="290"/>
      <c r="D18" s="291" t="s">
        <v>1066</v>
      </c>
      <c r="E18" s="292"/>
      <c r="F18" s="292"/>
      <c r="G18" s="293"/>
      <c r="H18" s="165" t="s">
        <v>1067</v>
      </c>
      <c r="I18" s="166">
        <f>ROUND((0  + 895.2  * 51.28) * 1 * 1 * 1.2 * 1.25 * 1.15,2)</f>
        <v>79187.600000000006</v>
      </c>
    </row>
    <row r="19" spans="1:9" ht="15.75" customHeight="1" x14ac:dyDescent="0.2">
      <c r="A19" s="167" t="s">
        <v>129</v>
      </c>
      <c r="B19" s="294" t="s">
        <v>130</v>
      </c>
      <c r="C19" s="295"/>
      <c r="D19" s="294"/>
      <c r="E19" s="296"/>
      <c r="F19" s="296"/>
      <c r="G19" s="295"/>
      <c r="H19" s="168"/>
      <c r="I19" s="169"/>
    </row>
    <row r="20" spans="1:9" ht="12.75" customHeight="1" x14ac:dyDescent="0.2">
      <c r="A20" s="74" t="s">
        <v>129</v>
      </c>
      <c r="B20" s="219" t="s">
        <v>176</v>
      </c>
      <c r="C20" s="220"/>
      <c r="D20" s="219" t="s">
        <v>358</v>
      </c>
      <c r="E20" s="221"/>
      <c r="F20" s="221"/>
      <c r="G20" s="220"/>
      <c r="H20" s="75"/>
      <c r="I20" s="76"/>
    </row>
    <row r="21" spans="1:9" ht="76.5" customHeight="1" x14ac:dyDescent="0.2">
      <c r="A21" s="74" t="s">
        <v>129</v>
      </c>
      <c r="B21" s="219" t="s">
        <v>1068</v>
      </c>
      <c r="C21" s="220"/>
      <c r="D21" s="219" t="s">
        <v>1069</v>
      </c>
      <c r="E21" s="221"/>
      <c r="F21" s="221"/>
      <c r="G21" s="220"/>
      <c r="H21" s="75"/>
      <c r="I21" s="76"/>
    </row>
    <row r="22" spans="1:9" ht="38.25" customHeight="1" x14ac:dyDescent="0.2">
      <c r="A22" s="74" t="s">
        <v>129</v>
      </c>
      <c r="B22" s="219" t="s">
        <v>1070</v>
      </c>
      <c r="C22" s="220"/>
      <c r="D22" s="219" t="s">
        <v>1071</v>
      </c>
      <c r="E22" s="221"/>
      <c r="F22" s="221"/>
      <c r="G22" s="220"/>
      <c r="H22" s="75"/>
      <c r="I22" s="76"/>
    </row>
    <row r="23" spans="1:9" ht="76.5" customHeight="1" x14ac:dyDescent="0.2">
      <c r="A23" s="74" t="s">
        <v>129</v>
      </c>
      <c r="B23" s="219" t="s">
        <v>1072</v>
      </c>
      <c r="C23" s="220"/>
      <c r="D23" s="219" t="s">
        <v>1073</v>
      </c>
      <c r="E23" s="221"/>
      <c r="F23" s="221"/>
      <c r="G23" s="220"/>
      <c r="H23" s="75"/>
      <c r="I23" s="76"/>
    </row>
    <row r="24" spans="1:9" ht="15.75" customHeight="1" x14ac:dyDescent="0.2">
      <c r="A24" s="74" t="s">
        <v>129</v>
      </c>
      <c r="B24" s="240" t="s">
        <v>137</v>
      </c>
      <c r="C24" s="241"/>
      <c r="D24" s="240"/>
      <c r="E24" s="242"/>
      <c r="F24" s="242"/>
      <c r="G24" s="241"/>
      <c r="H24" s="77"/>
      <c r="I24" s="78"/>
    </row>
    <row r="25" spans="1:9" ht="12.75" customHeight="1" x14ac:dyDescent="0.2">
      <c r="A25" s="74" t="s">
        <v>129</v>
      </c>
      <c r="B25" s="219" t="s">
        <v>1074</v>
      </c>
      <c r="C25" s="220"/>
      <c r="D25" s="297">
        <v>2.8400000000000002E-2</v>
      </c>
      <c r="E25" s="298"/>
      <c r="F25" s="298"/>
      <c r="G25" s="299"/>
      <c r="H25" s="75"/>
      <c r="I25" s="76"/>
    </row>
    <row r="26" spans="1:9" ht="12.75" customHeight="1" x14ac:dyDescent="0.2">
      <c r="A26" s="74" t="s">
        <v>129</v>
      </c>
      <c r="B26" s="219" t="s">
        <v>1075</v>
      </c>
      <c r="C26" s="220"/>
      <c r="D26" s="297">
        <v>0.1638</v>
      </c>
      <c r="E26" s="298"/>
      <c r="F26" s="298"/>
      <c r="G26" s="299"/>
      <c r="H26" s="75"/>
      <c r="I26" s="76"/>
    </row>
    <row r="27" spans="1:9" ht="12.75" customHeight="1" x14ac:dyDescent="0.2">
      <c r="A27" s="74" t="s">
        <v>129</v>
      </c>
      <c r="B27" s="219" t="s">
        <v>1076</v>
      </c>
      <c r="C27" s="220"/>
      <c r="D27" s="297">
        <v>3.1199999999999999E-2</v>
      </c>
      <c r="E27" s="298"/>
      <c r="F27" s="298"/>
      <c r="G27" s="299"/>
      <c r="H27" s="75"/>
      <c r="I27" s="76"/>
    </row>
    <row r="28" spans="1:9" ht="25.5" customHeight="1" x14ac:dyDescent="0.2">
      <c r="A28" s="74" t="s">
        <v>129</v>
      </c>
      <c r="B28" s="219" t="s">
        <v>1077</v>
      </c>
      <c r="C28" s="220"/>
      <c r="D28" s="297">
        <v>0.21340000000000001</v>
      </c>
      <c r="E28" s="298"/>
      <c r="F28" s="298"/>
      <c r="G28" s="299"/>
      <c r="H28" s="75"/>
      <c r="I28" s="76"/>
    </row>
    <row r="29" spans="1:9" ht="12.75" customHeight="1" x14ac:dyDescent="0.2">
      <c r="A29" s="74" t="s">
        <v>129</v>
      </c>
      <c r="B29" s="219" t="s">
        <v>1078</v>
      </c>
      <c r="C29" s="220"/>
      <c r="D29" s="297">
        <v>0.17879999999999999</v>
      </c>
      <c r="E29" s="298"/>
      <c r="F29" s="298"/>
      <c r="G29" s="299"/>
      <c r="H29" s="75"/>
      <c r="I29" s="76"/>
    </row>
    <row r="30" spans="1:9" ht="12.75" customHeight="1" x14ac:dyDescent="0.2">
      <c r="A30" s="74" t="s">
        <v>129</v>
      </c>
      <c r="B30" s="219" t="s">
        <v>1079</v>
      </c>
      <c r="C30" s="220"/>
      <c r="D30" s="297">
        <v>3.8199999999999998E-2</v>
      </c>
      <c r="E30" s="298"/>
      <c r="F30" s="298"/>
      <c r="G30" s="299"/>
      <c r="H30" s="75"/>
      <c r="I30" s="76"/>
    </row>
    <row r="31" spans="1:9" ht="12.75" customHeight="1" x14ac:dyDescent="0.2">
      <c r="A31" s="74" t="s">
        <v>129</v>
      </c>
      <c r="B31" s="219" t="s">
        <v>1080</v>
      </c>
      <c r="C31" s="220"/>
      <c r="D31" s="297">
        <v>0.22850000000000001</v>
      </c>
      <c r="E31" s="298"/>
      <c r="F31" s="298"/>
      <c r="G31" s="299"/>
      <c r="H31" s="75"/>
      <c r="I31" s="76"/>
    </row>
    <row r="32" spans="1:9" ht="12.75" customHeight="1" x14ac:dyDescent="0.2">
      <c r="A32" s="74" t="s">
        <v>129</v>
      </c>
      <c r="B32" s="219" t="s">
        <v>1081</v>
      </c>
      <c r="C32" s="220"/>
      <c r="D32" s="297">
        <v>0.10589999999999999</v>
      </c>
      <c r="E32" s="298"/>
      <c r="F32" s="298"/>
      <c r="G32" s="299"/>
      <c r="H32" s="75"/>
      <c r="I32" s="76"/>
    </row>
    <row r="33" spans="1:9" ht="12.75" customHeight="1" x14ac:dyDescent="0.2">
      <c r="A33" s="96" t="s">
        <v>129</v>
      </c>
      <c r="B33" s="231" t="s">
        <v>1082</v>
      </c>
      <c r="C33" s="232"/>
      <c r="D33" s="300">
        <v>1.18E-2</v>
      </c>
      <c r="E33" s="301"/>
      <c r="F33" s="301"/>
      <c r="G33" s="302"/>
      <c r="H33" s="97"/>
      <c r="I33" s="80"/>
    </row>
    <row r="34" spans="1:9" ht="158.1" customHeight="1" x14ac:dyDescent="0.2">
      <c r="A34" s="150" t="s">
        <v>7</v>
      </c>
      <c r="B34" s="236" t="s">
        <v>1083</v>
      </c>
      <c r="C34" s="237"/>
      <c r="D34" s="238" t="s">
        <v>1084</v>
      </c>
      <c r="E34" s="189"/>
      <c r="F34" s="189"/>
      <c r="G34" s="239"/>
      <c r="H34" s="152" t="s">
        <v>1085</v>
      </c>
      <c r="I34" s="149">
        <f>ROUND((0  + 880.6  * 51.28) * 1 * 1 * 1.2 * 1.25 * 1.15,2)</f>
        <v>77896.11</v>
      </c>
    </row>
    <row r="35" spans="1:9" ht="15.75" customHeight="1" x14ac:dyDescent="0.2">
      <c r="A35" s="167" t="s">
        <v>129</v>
      </c>
      <c r="B35" s="294" t="s">
        <v>130</v>
      </c>
      <c r="C35" s="295"/>
      <c r="D35" s="294"/>
      <c r="E35" s="296"/>
      <c r="F35" s="296"/>
      <c r="G35" s="295"/>
      <c r="H35" s="168"/>
      <c r="I35" s="169"/>
    </row>
    <row r="36" spans="1:9" ht="12.75" customHeight="1" x14ac:dyDescent="0.2">
      <c r="A36" s="74" t="s">
        <v>129</v>
      </c>
      <c r="B36" s="219" t="s">
        <v>176</v>
      </c>
      <c r="C36" s="220"/>
      <c r="D36" s="219" t="s">
        <v>358</v>
      </c>
      <c r="E36" s="221"/>
      <c r="F36" s="221"/>
      <c r="G36" s="220"/>
      <c r="H36" s="75"/>
      <c r="I36" s="76"/>
    </row>
    <row r="37" spans="1:9" ht="76.5" customHeight="1" x14ac:dyDescent="0.2">
      <c r="A37" s="74" t="s">
        <v>129</v>
      </c>
      <c r="B37" s="219" t="s">
        <v>1068</v>
      </c>
      <c r="C37" s="220"/>
      <c r="D37" s="219" t="s">
        <v>1069</v>
      </c>
      <c r="E37" s="221"/>
      <c r="F37" s="221"/>
      <c r="G37" s="220"/>
      <c r="H37" s="75"/>
      <c r="I37" s="76"/>
    </row>
    <row r="38" spans="1:9" ht="38.25" customHeight="1" x14ac:dyDescent="0.2">
      <c r="A38" s="74" t="s">
        <v>129</v>
      </c>
      <c r="B38" s="219" t="s">
        <v>1070</v>
      </c>
      <c r="C38" s="220"/>
      <c r="D38" s="219" t="s">
        <v>1071</v>
      </c>
      <c r="E38" s="221"/>
      <c r="F38" s="221"/>
      <c r="G38" s="220"/>
      <c r="H38" s="75"/>
      <c r="I38" s="76"/>
    </row>
    <row r="39" spans="1:9" ht="76.5" customHeight="1" x14ac:dyDescent="0.2">
      <c r="A39" s="74" t="s">
        <v>129</v>
      </c>
      <c r="B39" s="219" t="s">
        <v>1072</v>
      </c>
      <c r="C39" s="220"/>
      <c r="D39" s="219" t="s">
        <v>1073</v>
      </c>
      <c r="E39" s="221"/>
      <c r="F39" s="221"/>
      <c r="G39" s="220"/>
      <c r="H39" s="75"/>
      <c r="I39" s="76"/>
    </row>
    <row r="40" spans="1:9" ht="15.75" customHeight="1" x14ac:dyDescent="0.2">
      <c r="A40" s="74" t="s">
        <v>129</v>
      </c>
      <c r="B40" s="240" t="s">
        <v>137</v>
      </c>
      <c r="C40" s="241"/>
      <c r="D40" s="240"/>
      <c r="E40" s="242"/>
      <c r="F40" s="242"/>
      <c r="G40" s="241"/>
      <c r="H40" s="77"/>
      <c r="I40" s="78"/>
    </row>
    <row r="41" spans="1:9" ht="12.75" customHeight="1" x14ac:dyDescent="0.2">
      <c r="A41" s="74" t="s">
        <v>129</v>
      </c>
      <c r="B41" s="219" t="s">
        <v>1086</v>
      </c>
      <c r="C41" s="220"/>
      <c r="D41" s="297">
        <v>3.8399999999999997E-2</v>
      </c>
      <c r="E41" s="298"/>
      <c r="F41" s="298"/>
      <c r="G41" s="299"/>
      <c r="H41" s="75"/>
      <c r="I41" s="76"/>
    </row>
    <row r="42" spans="1:9" ht="12.75" customHeight="1" x14ac:dyDescent="0.2">
      <c r="A42" s="74" t="s">
        <v>129</v>
      </c>
      <c r="B42" s="219" t="s">
        <v>1087</v>
      </c>
      <c r="C42" s="220"/>
      <c r="D42" s="297">
        <v>0.32590000000000002</v>
      </c>
      <c r="E42" s="298"/>
      <c r="F42" s="298"/>
      <c r="G42" s="299"/>
      <c r="H42" s="75"/>
      <c r="I42" s="76"/>
    </row>
    <row r="43" spans="1:9" ht="12.75" customHeight="1" x14ac:dyDescent="0.2">
      <c r="A43" s="74" t="s">
        <v>129</v>
      </c>
      <c r="B43" s="219" t="s">
        <v>1088</v>
      </c>
      <c r="C43" s="220"/>
      <c r="D43" s="297">
        <v>6.4500000000000002E-2</v>
      </c>
      <c r="E43" s="298"/>
      <c r="F43" s="298"/>
      <c r="G43" s="299"/>
      <c r="H43" s="75"/>
      <c r="I43" s="76"/>
    </row>
    <row r="44" spans="1:9" ht="12.75" customHeight="1" x14ac:dyDescent="0.2">
      <c r="A44" s="74" t="s">
        <v>129</v>
      </c>
      <c r="B44" s="219" t="s">
        <v>1089</v>
      </c>
      <c r="C44" s="220"/>
      <c r="D44" s="297">
        <v>2.3199999999999998E-2</v>
      </c>
      <c r="E44" s="298"/>
      <c r="F44" s="298"/>
      <c r="G44" s="299"/>
      <c r="H44" s="75"/>
      <c r="I44" s="76"/>
    </row>
    <row r="45" spans="1:9" ht="12.75" customHeight="1" x14ac:dyDescent="0.2">
      <c r="A45" s="74" t="s">
        <v>129</v>
      </c>
      <c r="B45" s="219" t="s">
        <v>1090</v>
      </c>
      <c r="C45" s="220"/>
      <c r="D45" s="297">
        <v>0.34200000000000003</v>
      </c>
      <c r="E45" s="298"/>
      <c r="F45" s="298"/>
      <c r="G45" s="299"/>
      <c r="H45" s="75"/>
      <c r="I45" s="76"/>
    </row>
    <row r="46" spans="1:9" ht="12.75" customHeight="1" x14ac:dyDescent="0.2">
      <c r="A46" s="74" t="s">
        <v>129</v>
      </c>
      <c r="B46" s="219" t="s">
        <v>1091</v>
      </c>
      <c r="C46" s="220"/>
      <c r="D46" s="297">
        <v>0.17199999999999999</v>
      </c>
      <c r="E46" s="298"/>
      <c r="F46" s="298"/>
      <c r="G46" s="299"/>
      <c r="H46" s="75"/>
      <c r="I46" s="76"/>
    </row>
    <row r="47" spans="1:9" ht="12.75" customHeight="1" x14ac:dyDescent="0.2">
      <c r="A47" s="96" t="s">
        <v>129</v>
      </c>
      <c r="B47" s="231" t="s">
        <v>1092</v>
      </c>
      <c r="C47" s="232"/>
      <c r="D47" s="300">
        <v>3.4000000000000002E-2</v>
      </c>
      <c r="E47" s="301"/>
      <c r="F47" s="301"/>
      <c r="G47" s="302"/>
      <c r="H47" s="97"/>
      <c r="I47" s="80"/>
    </row>
    <row r="48" spans="1:9" ht="145.35" customHeight="1" x14ac:dyDescent="0.2">
      <c r="A48" s="150" t="s">
        <v>23</v>
      </c>
      <c r="B48" s="236" t="s">
        <v>1093</v>
      </c>
      <c r="C48" s="237"/>
      <c r="D48" s="238" t="s">
        <v>1094</v>
      </c>
      <c r="E48" s="189"/>
      <c r="F48" s="189"/>
      <c r="G48" s="239"/>
      <c r="H48" s="152" t="s">
        <v>1095</v>
      </c>
      <c r="I48" s="149">
        <f>ROUND((0  + 77  * 10) * 1 * 1 * 1.2 * 1.25 * 1.15,2)</f>
        <v>1328.25</v>
      </c>
    </row>
    <row r="49" spans="1:9" ht="15.75" customHeight="1" x14ac:dyDescent="0.2">
      <c r="A49" s="167" t="s">
        <v>129</v>
      </c>
      <c r="B49" s="294" t="s">
        <v>130</v>
      </c>
      <c r="C49" s="295"/>
      <c r="D49" s="294"/>
      <c r="E49" s="296"/>
      <c r="F49" s="296"/>
      <c r="G49" s="295"/>
      <c r="H49" s="168"/>
      <c r="I49" s="169"/>
    </row>
    <row r="50" spans="1:9" ht="12.75" customHeight="1" x14ac:dyDescent="0.2">
      <c r="A50" s="74" t="s">
        <v>129</v>
      </c>
      <c r="B50" s="219" t="s">
        <v>176</v>
      </c>
      <c r="C50" s="220"/>
      <c r="D50" s="219" t="s">
        <v>358</v>
      </c>
      <c r="E50" s="221"/>
      <c r="F50" s="221"/>
      <c r="G50" s="220"/>
      <c r="H50" s="75"/>
      <c r="I50" s="76"/>
    </row>
    <row r="51" spans="1:9" ht="76.5" customHeight="1" x14ac:dyDescent="0.2">
      <c r="A51" s="74" t="s">
        <v>129</v>
      </c>
      <c r="B51" s="219" t="s">
        <v>1068</v>
      </c>
      <c r="C51" s="220"/>
      <c r="D51" s="219" t="s">
        <v>1069</v>
      </c>
      <c r="E51" s="221"/>
      <c r="F51" s="221"/>
      <c r="G51" s="220"/>
      <c r="H51" s="75"/>
      <c r="I51" s="76"/>
    </row>
    <row r="52" spans="1:9" ht="38.25" customHeight="1" x14ac:dyDescent="0.2">
      <c r="A52" s="74" t="s">
        <v>129</v>
      </c>
      <c r="B52" s="219" t="s">
        <v>1070</v>
      </c>
      <c r="C52" s="220"/>
      <c r="D52" s="219" t="s">
        <v>1071</v>
      </c>
      <c r="E52" s="221"/>
      <c r="F52" s="221"/>
      <c r="G52" s="220"/>
      <c r="H52" s="75"/>
      <c r="I52" s="76"/>
    </row>
    <row r="53" spans="1:9" ht="76.5" customHeight="1" x14ac:dyDescent="0.2">
      <c r="A53" s="74" t="s">
        <v>129</v>
      </c>
      <c r="B53" s="219" t="s">
        <v>1072</v>
      </c>
      <c r="C53" s="220"/>
      <c r="D53" s="219" t="s">
        <v>1073</v>
      </c>
      <c r="E53" s="221"/>
      <c r="F53" s="221"/>
      <c r="G53" s="220"/>
      <c r="H53" s="75"/>
      <c r="I53" s="76"/>
    </row>
    <row r="54" spans="1:9" ht="15.75" customHeight="1" x14ac:dyDescent="0.2">
      <c r="A54" s="74" t="s">
        <v>129</v>
      </c>
      <c r="B54" s="240" t="s">
        <v>137</v>
      </c>
      <c r="C54" s="241"/>
      <c r="D54" s="240"/>
      <c r="E54" s="242"/>
      <c r="F54" s="242"/>
      <c r="G54" s="241"/>
      <c r="H54" s="77"/>
      <c r="I54" s="78"/>
    </row>
    <row r="55" spans="1:9" ht="12.75" customHeight="1" x14ac:dyDescent="0.2">
      <c r="A55" s="96" t="s">
        <v>129</v>
      </c>
      <c r="B55" s="231" t="s">
        <v>138</v>
      </c>
      <c r="C55" s="232"/>
      <c r="D55" s="233">
        <v>1</v>
      </c>
      <c r="E55" s="234"/>
      <c r="F55" s="234"/>
      <c r="G55" s="235"/>
      <c r="H55" s="97"/>
      <c r="I55" s="80"/>
    </row>
    <row r="56" spans="1:9" ht="145.35" customHeight="1" x14ac:dyDescent="0.2">
      <c r="A56" s="150" t="s">
        <v>24</v>
      </c>
      <c r="B56" s="236" t="s">
        <v>1096</v>
      </c>
      <c r="C56" s="237"/>
      <c r="D56" s="238" t="s">
        <v>1097</v>
      </c>
      <c r="E56" s="189"/>
      <c r="F56" s="189"/>
      <c r="G56" s="239"/>
      <c r="H56" s="152" t="s">
        <v>1098</v>
      </c>
      <c r="I56" s="149">
        <f>ROUND((0  + 120.8  * 5) * 1 * 1,2)</f>
        <v>604</v>
      </c>
    </row>
    <row r="57" spans="1:9" ht="15.75" customHeight="1" x14ac:dyDescent="0.2">
      <c r="A57" s="167" t="s">
        <v>129</v>
      </c>
      <c r="B57" s="294" t="s">
        <v>130</v>
      </c>
      <c r="C57" s="295"/>
      <c r="D57" s="294"/>
      <c r="E57" s="296"/>
      <c r="F57" s="296"/>
      <c r="G57" s="295"/>
      <c r="H57" s="168"/>
      <c r="I57" s="169"/>
    </row>
    <row r="58" spans="1:9" ht="12.75" customHeight="1" x14ac:dyDescent="0.2">
      <c r="A58" s="74" t="s">
        <v>129</v>
      </c>
      <c r="B58" s="219" t="s">
        <v>176</v>
      </c>
      <c r="C58" s="220"/>
      <c r="D58" s="219" t="s">
        <v>358</v>
      </c>
      <c r="E58" s="221"/>
      <c r="F58" s="221"/>
      <c r="G58" s="220"/>
      <c r="H58" s="75"/>
      <c r="I58" s="76"/>
    </row>
    <row r="59" spans="1:9" ht="15.75" customHeight="1" x14ac:dyDescent="0.2">
      <c r="A59" s="74" t="s">
        <v>129</v>
      </c>
      <c r="B59" s="240" t="s">
        <v>137</v>
      </c>
      <c r="C59" s="241"/>
      <c r="D59" s="240"/>
      <c r="E59" s="242"/>
      <c r="F59" s="242"/>
      <c r="G59" s="241"/>
      <c r="H59" s="77"/>
      <c r="I59" s="78"/>
    </row>
    <row r="60" spans="1:9" ht="12.75" customHeight="1" x14ac:dyDescent="0.2">
      <c r="A60" s="96" t="s">
        <v>129</v>
      </c>
      <c r="B60" s="231" t="s">
        <v>138</v>
      </c>
      <c r="C60" s="232"/>
      <c r="D60" s="233">
        <v>1</v>
      </c>
      <c r="E60" s="234"/>
      <c r="F60" s="234"/>
      <c r="G60" s="235"/>
      <c r="H60" s="97"/>
      <c r="I60" s="80"/>
    </row>
    <row r="61" spans="1:9" ht="12.75" customHeight="1" x14ac:dyDescent="0.2">
      <c r="A61" s="96" t="s">
        <v>25</v>
      </c>
      <c r="B61" s="243" t="s">
        <v>213</v>
      </c>
      <c r="C61" s="244"/>
      <c r="D61" s="243"/>
      <c r="E61" s="245"/>
      <c r="F61" s="245"/>
      <c r="G61" s="244"/>
      <c r="H61" s="83"/>
      <c r="I61" s="84">
        <f>ROUND((SUM($I$18:$I$56)),2)</f>
        <v>159015.96</v>
      </c>
    </row>
    <row r="62" spans="1:9" ht="51" customHeight="1" x14ac:dyDescent="0.2">
      <c r="A62" s="65" t="s">
        <v>26</v>
      </c>
      <c r="B62" s="246" t="s">
        <v>347</v>
      </c>
      <c r="C62" s="247"/>
      <c r="D62" s="246" t="s">
        <v>348</v>
      </c>
      <c r="E62" s="273"/>
      <c r="F62" s="273"/>
      <c r="G62" s="247"/>
      <c r="H62" s="68" t="s">
        <v>1099</v>
      </c>
      <c r="I62" s="69">
        <f>ROUND(($I$61) * 4.82 * 1,2)</f>
        <v>766456.93</v>
      </c>
    </row>
    <row r="63" spans="1:9" ht="12.75" customHeight="1" x14ac:dyDescent="0.2">
      <c r="A63" s="65" t="s">
        <v>27</v>
      </c>
      <c r="B63" s="228" t="s">
        <v>214</v>
      </c>
      <c r="C63" s="229"/>
      <c r="D63" s="228"/>
      <c r="E63" s="303"/>
      <c r="F63" s="303"/>
      <c r="G63" s="229"/>
      <c r="H63" s="66"/>
      <c r="I63" s="70">
        <f>ROUND(($I$62),2)</f>
        <v>766456.93</v>
      </c>
    </row>
    <row r="64" spans="1:9" ht="12.75" customHeight="1" x14ac:dyDescent="0.2"/>
    <row r="65" spans="1:9" s="156" customFormat="1" ht="24.95" customHeight="1" x14ac:dyDescent="0.25">
      <c r="A65" s="189" t="s">
        <v>215</v>
      </c>
      <c r="B65" s="189"/>
      <c r="C65" s="189"/>
      <c r="D65" s="189"/>
      <c r="E65" s="189"/>
      <c r="F65" s="189"/>
      <c r="G65" s="189"/>
      <c r="H65" s="189"/>
      <c r="I65" s="189"/>
    </row>
    <row r="66" spans="1:9" ht="12.75" customHeight="1" x14ac:dyDescent="0.2">
      <c r="D66" s="148"/>
    </row>
  </sheetData>
  <mergeCells count="112">
    <mergeCell ref="B63:C63"/>
    <mergeCell ref="D63:G63"/>
    <mergeCell ref="A65:C65"/>
    <mergeCell ref="D65:I65"/>
    <mergeCell ref="B60:C60"/>
    <mergeCell ref="D60:G60"/>
    <mergeCell ref="B61:C61"/>
    <mergeCell ref="D61:G61"/>
    <mergeCell ref="B62:C62"/>
    <mergeCell ref="D62:G62"/>
    <mergeCell ref="B57:C57"/>
    <mergeCell ref="D57:G57"/>
    <mergeCell ref="B58:C58"/>
    <mergeCell ref="D58:G58"/>
    <mergeCell ref="B59:C59"/>
    <mergeCell ref="D59:G59"/>
    <mergeCell ref="B54:C54"/>
    <mergeCell ref="D54:G54"/>
    <mergeCell ref="B55:C55"/>
    <mergeCell ref="D55:G55"/>
    <mergeCell ref="B56:C56"/>
    <mergeCell ref="D56:G56"/>
    <mergeCell ref="B51:C51"/>
    <mergeCell ref="D51:G51"/>
    <mergeCell ref="B52:C52"/>
    <mergeCell ref="D52:G52"/>
    <mergeCell ref="B53:C53"/>
    <mergeCell ref="D53:G53"/>
    <mergeCell ref="B48:C48"/>
    <mergeCell ref="D48:G48"/>
    <mergeCell ref="B49:C49"/>
    <mergeCell ref="D49:G49"/>
    <mergeCell ref="B50:C50"/>
    <mergeCell ref="D50:G50"/>
    <mergeCell ref="B45:C45"/>
    <mergeCell ref="D45:G45"/>
    <mergeCell ref="B46:C46"/>
    <mergeCell ref="D46:G46"/>
    <mergeCell ref="B47:C47"/>
    <mergeCell ref="D47:G47"/>
    <mergeCell ref="B42:C42"/>
    <mergeCell ref="D42:G42"/>
    <mergeCell ref="B43:C43"/>
    <mergeCell ref="D43:G43"/>
    <mergeCell ref="B44:C44"/>
    <mergeCell ref="D44:G44"/>
    <mergeCell ref="B39:C39"/>
    <mergeCell ref="D39:G39"/>
    <mergeCell ref="B40:C40"/>
    <mergeCell ref="D40:G40"/>
    <mergeCell ref="B41:C41"/>
    <mergeCell ref="D41:G41"/>
    <mergeCell ref="B36:C36"/>
    <mergeCell ref="D36:G36"/>
    <mergeCell ref="B37:C37"/>
    <mergeCell ref="D37:G37"/>
    <mergeCell ref="B38:C38"/>
    <mergeCell ref="D38:G38"/>
    <mergeCell ref="B33:C33"/>
    <mergeCell ref="D33:G33"/>
    <mergeCell ref="B34:C34"/>
    <mergeCell ref="D34:G34"/>
    <mergeCell ref="B35:C35"/>
    <mergeCell ref="D35:G35"/>
    <mergeCell ref="B30:C30"/>
    <mergeCell ref="D30:G30"/>
    <mergeCell ref="B31:C31"/>
    <mergeCell ref="D31:G31"/>
    <mergeCell ref="B32:C32"/>
    <mergeCell ref="D32:G32"/>
    <mergeCell ref="B27:C27"/>
    <mergeCell ref="D27:G27"/>
    <mergeCell ref="B28:C28"/>
    <mergeCell ref="D28:G28"/>
    <mergeCell ref="B29:C29"/>
    <mergeCell ref="D29:G29"/>
    <mergeCell ref="B24:C24"/>
    <mergeCell ref="D24:G24"/>
    <mergeCell ref="B25:C25"/>
    <mergeCell ref="D25:G25"/>
    <mergeCell ref="B26:C26"/>
    <mergeCell ref="D26:G26"/>
    <mergeCell ref="B22:C22"/>
    <mergeCell ref="D22:G22"/>
    <mergeCell ref="B23:C23"/>
    <mergeCell ref="D23:G23"/>
    <mergeCell ref="B18:C18"/>
    <mergeCell ref="D18:G18"/>
    <mergeCell ref="B19:C19"/>
    <mergeCell ref="D19:G19"/>
    <mergeCell ref="B20:C20"/>
    <mergeCell ref="D20:G20"/>
    <mergeCell ref="B17:C17"/>
    <mergeCell ref="D17:G17"/>
    <mergeCell ref="A8:C8"/>
    <mergeCell ref="D8:I8"/>
    <mergeCell ref="A10:C10"/>
    <mergeCell ref="D10:I10"/>
    <mergeCell ref="A12:C12"/>
    <mergeCell ref="D12:I12"/>
    <mergeCell ref="B21:C21"/>
    <mergeCell ref="D21:G21"/>
    <mergeCell ref="A1:C1"/>
    <mergeCell ref="D1:I1"/>
    <mergeCell ref="A3:I3"/>
    <mergeCell ref="A4:I4"/>
    <mergeCell ref="A6:C6"/>
    <mergeCell ref="D6:I6"/>
    <mergeCell ref="A14:I14"/>
    <mergeCell ref="A15:I15"/>
    <mergeCell ref="B16:C16"/>
    <mergeCell ref="D16:G16"/>
  </mergeCells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BB0DD-4DAC-49E6-810B-1758B4B39517}">
  <dimension ref="A1:I33"/>
  <sheetViews>
    <sheetView topLeftCell="A22" workbookViewId="0">
      <selection activeCell="K37" sqref="K37"/>
    </sheetView>
  </sheetViews>
  <sheetFormatPr defaultColWidth="11.5703125" defaultRowHeight="12.75" x14ac:dyDescent="0.2"/>
  <cols>
    <col min="1" max="1" width="3.7109375" style="157" customWidth="1"/>
    <col min="2" max="2" width="10.7109375" style="157" customWidth="1"/>
    <col min="3" max="3" width="15.5703125" style="157" customWidth="1"/>
    <col min="4" max="4" width="4.42578125" style="157" customWidth="1"/>
    <col min="5" max="7" width="9.28515625" style="157" customWidth="1"/>
    <col min="8" max="8" width="19.7109375" style="157" customWidth="1"/>
    <col min="9" max="9" width="14.7109375" style="157" customWidth="1"/>
    <col min="10" max="10" width="19.7109375" style="58" customWidth="1"/>
    <col min="11" max="16384" width="11.5703125" style="58"/>
  </cols>
  <sheetData>
    <row r="1" spans="1:9" ht="25.5" customHeight="1" x14ac:dyDescent="0.2">
      <c r="A1" s="208" t="s">
        <v>99</v>
      </c>
      <c r="B1" s="208"/>
      <c r="C1" s="208"/>
      <c r="D1" s="192" t="s">
        <v>989</v>
      </c>
      <c r="E1" s="192"/>
      <c r="F1" s="192"/>
      <c r="G1" s="192"/>
      <c r="H1" s="192"/>
      <c r="I1" s="192"/>
    </row>
    <row r="2" spans="1:9" x14ac:dyDescent="0.2">
      <c r="A2" s="59"/>
      <c r="B2" s="59"/>
      <c r="C2" s="59"/>
      <c r="D2" s="60"/>
      <c r="E2" s="60"/>
      <c r="F2" s="60"/>
      <c r="G2" s="60"/>
      <c r="H2" s="60"/>
      <c r="I2" s="60"/>
    </row>
    <row r="3" spans="1:9" x14ac:dyDescent="0.2">
      <c r="A3" s="193" t="s">
        <v>1101</v>
      </c>
      <c r="B3" s="193"/>
      <c r="C3" s="193"/>
      <c r="D3" s="193"/>
      <c r="E3" s="193"/>
      <c r="F3" s="193"/>
      <c r="G3" s="193"/>
      <c r="H3" s="193"/>
      <c r="I3" s="193"/>
    </row>
    <row r="4" spans="1:9" x14ac:dyDescent="0.2">
      <c r="A4" s="209" t="s">
        <v>101</v>
      </c>
      <c r="B4" s="209"/>
      <c r="C4" s="209"/>
      <c r="D4" s="209"/>
      <c r="E4" s="209"/>
      <c r="F4" s="209"/>
      <c r="G4" s="209"/>
      <c r="H4" s="209"/>
      <c r="I4" s="209"/>
    </row>
    <row r="5" spans="1:9" x14ac:dyDescent="0.2">
      <c r="A5" s="155"/>
      <c r="B5" s="155"/>
      <c r="C5" s="155"/>
      <c r="D5" s="155"/>
      <c r="E5" s="155"/>
      <c r="F5" s="155"/>
      <c r="G5" s="155"/>
      <c r="H5" s="155"/>
      <c r="I5" s="155"/>
    </row>
    <row r="6" spans="1:9" ht="51" customHeight="1" x14ac:dyDescent="0.2">
      <c r="A6" s="210" t="s">
        <v>102</v>
      </c>
      <c r="B6" s="210"/>
      <c r="C6" s="210"/>
      <c r="D6" s="189" t="s">
        <v>87</v>
      </c>
      <c r="E6" s="189"/>
      <c r="F6" s="189"/>
      <c r="G6" s="189"/>
      <c r="H6" s="189"/>
      <c r="I6" s="189"/>
    </row>
    <row r="7" spans="1:9" ht="3.75" customHeight="1" x14ac:dyDescent="0.2">
      <c r="D7" s="59"/>
      <c r="E7" s="59"/>
      <c r="F7" s="59"/>
      <c r="G7" s="59"/>
    </row>
    <row r="8" spans="1:9" ht="66" customHeight="1" x14ac:dyDescent="0.2">
      <c r="A8" s="189" t="s">
        <v>103</v>
      </c>
      <c r="B8" s="189"/>
      <c r="C8" s="189"/>
      <c r="D8" s="196" t="s">
        <v>1102</v>
      </c>
      <c r="E8" s="196"/>
      <c r="F8" s="196"/>
      <c r="G8" s="196"/>
      <c r="H8" s="196"/>
      <c r="I8" s="196"/>
    </row>
    <row r="9" spans="1:9" ht="3.95" customHeight="1" x14ac:dyDescent="0.2">
      <c r="A9" s="153"/>
      <c r="B9" s="153"/>
      <c r="C9" s="153"/>
    </row>
    <row r="10" spans="1:9" ht="41.25" customHeight="1" x14ac:dyDescent="0.2">
      <c r="A10" s="189" t="s">
        <v>105</v>
      </c>
      <c r="B10" s="189"/>
      <c r="C10" s="189"/>
      <c r="D10" s="189"/>
      <c r="E10" s="189"/>
      <c r="F10" s="189"/>
      <c r="G10" s="189"/>
      <c r="H10" s="189"/>
      <c r="I10" s="189"/>
    </row>
    <row r="11" spans="1:9" ht="3.95" customHeight="1" x14ac:dyDescent="0.2"/>
    <row r="12" spans="1:9" ht="30" customHeight="1" x14ac:dyDescent="0.2">
      <c r="A12" s="189" t="s">
        <v>106</v>
      </c>
      <c r="B12" s="189"/>
      <c r="C12" s="189"/>
      <c r="D12" s="189"/>
      <c r="E12" s="189"/>
      <c r="F12" s="189"/>
      <c r="G12" s="189"/>
      <c r="H12" s="189"/>
      <c r="I12" s="189"/>
    </row>
    <row r="13" spans="1:9" ht="3.75" customHeight="1" x14ac:dyDescent="0.2">
      <c r="A13" s="153"/>
      <c r="B13" s="153"/>
      <c r="C13" s="153"/>
      <c r="D13" s="63"/>
      <c r="E13" s="63"/>
      <c r="F13" s="63"/>
      <c r="G13" s="63"/>
      <c r="H13" s="153"/>
      <c r="I13" s="153"/>
    </row>
    <row r="14" spans="1:9" ht="12.75" customHeight="1" x14ac:dyDescent="0.2">
      <c r="A14" s="198" t="s">
        <v>218</v>
      </c>
      <c r="B14" s="198"/>
      <c r="C14" s="198"/>
      <c r="D14" s="198"/>
      <c r="E14" s="198"/>
      <c r="F14" s="198"/>
      <c r="G14" s="198"/>
      <c r="H14" s="198"/>
      <c r="I14" s="198"/>
    </row>
    <row r="15" spans="1:9" ht="100.5" customHeight="1" x14ac:dyDescent="0.2">
      <c r="A15" s="170" t="s">
        <v>108</v>
      </c>
      <c r="B15" s="283" t="s">
        <v>109</v>
      </c>
      <c r="C15" s="284"/>
      <c r="D15" s="283" t="s">
        <v>110</v>
      </c>
      <c r="E15" s="285"/>
      <c r="F15" s="285"/>
      <c r="G15" s="284"/>
      <c r="H15" s="171" t="s">
        <v>113</v>
      </c>
      <c r="I15" s="170" t="s">
        <v>114</v>
      </c>
    </row>
    <row r="16" spans="1:9" x14ac:dyDescent="0.2">
      <c r="A16" s="161" t="s">
        <v>6</v>
      </c>
      <c r="B16" s="286">
        <v>2</v>
      </c>
      <c r="C16" s="287"/>
      <c r="D16" s="286">
        <v>3</v>
      </c>
      <c r="E16" s="288"/>
      <c r="F16" s="288"/>
      <c r="G16" s="287"/>
      <c r="H16" s="162">
        <v>4</v>
      </c>
      <c r="I16" s="162">
        <v>5</v>
      </c>
    </row>
    <row r="17" spans="1:9" ht="12.75" customHeight="1" x14ac:dyDescent="0.2">
      <c r="A17" s="65" t="s">
        <v>6</v>
      </c>
      <c r="B17" s="228" t="s">
        <v>115</v>
      </c>
      <c r="C17" s="229"/>
      <c r="D17" s="228" t="s">
        <v>1102</v>
      </c>
      <c r="E17" s="303"/>
      <c r="F17" s="303"/>
      <c r="G17" s="229"/>
      <c r="H17" s="66"/>
      <c r="I17" s="67"/>
    </row>
    <row r="18" spans="1:9" ht="170.85" customHeight="1" x14ac:dyDescent="0.2">
      <c r="A18" s="163" t="s">
        <v>117</v>
      </c>
      <c r="B18" s="289" t="s">
        <v>1103</v>
      </c>
      <c r="C18" s="290"/>
      <c r="D18" s="291" t="s">
        <v>1104</v>
      </c>
      <c r="E18" s="292"/>
      <c r="F18" s="292"/>
      <c r="G18" s="293"/>
      <c r="H18" s="165" t="s">
        <v>1105</v>
      </c>
      <c r="I18" s="166">
        <f>ROUND((2790  + (3140  - 2790 ) / (7 - 5) * (5.128 - 5)) * 1 * 58.4,2)</f>
        <v>164244.16</v>
      </c>
    </row>
    <row r="19" spans="1:9" ht="15.75" customHeight="1" x14ac:dyDescent="0.2">
      <c r="A19" s="167" t="s">
        <v>129</v>
      </c>
      <c r="B19" s="294" t="s">
        <v>130</v>
      </c>
      <c r="C19" s="295"/>
      <c r="D19" s="294"/>
      <c r="E19" s="296"/>
      <c r="F19" s="296"/>
      <c r="G19" s="295"/>
      <c r="H19" s="168"/>
      <c r="I19" s="169"/>
    </row>
    <row r="20" spans="1:9" ht="63.75" customHeight="1" x14ac:dyDescent="0.2">
      <c r="A20" s="96" t="s">
        <v>129</v>
      </c>
      <c r="B20" s="231" t="s">
        <v>1106</v>
      </c>
      <c r="C20" s="232"/>
      <c r="D20" s="231" t="s">
        <v>1107</v>
      </c>
      <c r="E20" s="256"/>
      <c r="F20" s="256"/>
      <c r="G20" s="232"/>
      <c r="H20" s="97"/>
      <c r="I20" s="80"/>
    </row>
    <row r="21" spans="1:9" ht="119.85" customHeight="1" x14ac:dyDescent="0.2">
      <c r="A21" s="150" t="s">
        <v>121</v>
      </c>
      <c r="B21" s="236" t="s">
        <v>1108</v>
      </c>
      <c r="C21" s="237"/>
      <c r="D21" s="238" t="s">
        <v>1109</v>
      </c>
      <c r="E21" s="189"/>
      <c r="F21" s="189"/>
      <c r="G21" s="239"/>
      <c r="H21" s="152" t="s">
        <v>1110</v>
      </c>
      <c r="I21" s="149">
        <f>ROUND(610  * 2 * 58.4,2)</f>
        <v>71248</v>
      </c>
    </row>
    <row r="22" spans="1:9" ht="15.75" customHeight="1" x14ac:dyDescent="0.2">
      <c r="A22" s="167" t="s">
        <v>129</v>
      </c>
      <c r="B22" s="294" t="s">
        <v>130</v>
      </c>
      <c r="C22" s="295"/>
      <c r="D22" s="294"/>
      <c r="E22" s="296"/>
      <c r="F22" s="296"/>
      <c r="G22" s="295"/>
      <c r="H22" s="168"/>
      <c r="I22" s="169"/>
    </row>
    <row r="23" spans="1:9" ht="63.75" customHeight="1" x14ac:dyDescent="0.2">
      <c r="A23" s="96" t="s">
        <v>129</v>
      </c>
      <c r="B23" s="231" t="s">
        <v>1106</v>
      </c>
      <c r="C23" s="232"/>
      <c r="D23" s="231" t="s">
        <v>1107</v>
      </c>
      <c r="E23" s="256"/>
      <c r="F23" s="256"/>
      <c r="G23" s="232"/>
      <c r="H23" s="97"/>
      <c r="I23" s="80"/>
    </row>
    <row r="24" spans="1:9" ht="119.85" customHeight="1" x14ac:dyDescent="0.2">
      <c r="A24" s="150" t="s">
        <v>123</v>
      </c>
      <c r="B24" s="236" t="s">
        <v>1111</v>
      </c>
      <c r="C24" s="237"/>
      <c r="D24" s="238" t="s">
        <v>1112</v>
      </c>
      <c r="E24" s="189"/>
      <c r="F24" s="189"/>
      <c r="G24" s="239"/>
      <c r="H24" s="152" t="s">
        <v>1113</v>
      </c>
      <c r="I24" s="149">
        <f>ROUND(400  * 2 * 58.4,2)</f>
        <v>46720</v>
      </c>
    </row>
    <row r="25" spans="1:9" ht="15.75" customHeight="1" x14ac:dyDescent="0.2">
      <c r="A25" s="167" t="s">
        <v>129</v>
      </c>
      <c r="B25" s="294" t="s">
        <v>130</v>
      </c>
      <c r="C25" s="295"/>
      <c r="D25" s="294"/>
      <c r="E25" s="296"/>
      <c r="F25" s="296"/>
      <c r="G25" s="295"/>
      <c r="H25" s="168"/>
      <c r="I25" s="169"/>
    </row>
    <row r="26" spans="1:9" ht="63.75" customHeight="1" x14ac:dyDescent="0.2">
      <c r="A26" s="96" t="s">
        <v>129</v>
      </c>
      <c r="B26" s="231" t="s">
        <v>1106</v>
      </c>
      <c r="C26" s="232"/>
      <c r="D26" s="231" t="s">
        <v>1107</v>
      </c>
      <c r="E26" s="256"/>
      <c r="F26" s="256"/>
      <c r="G26" s="232"/>
      <c r="H26" s="97"/>
      <c r="I26" s="80"/>
    </row>
    <row r="27" spans="1:9" ht="12.75" customHeight="1" x14ac:dyDescent="0.2">
      <c r="A27" s="96" t="s">
        <v>230</v>
      </c>
      <c r="B27" s="243" t="s">
        <v>1114</v>
      </c>
      <c r="C27" s="244"/>
      <c r="D27" s="243"/>
      <c r="E27" s="245"/>
      <c r="F27" s="245"/>
      <c r="G27" s="244"/>
      <c r="H27" s="83"/>
      <c r="I27" s="84">
        <f>ROUND((SUM($I$18:$I$24)),2)</f>
        <v>282212.15999999997</v>
      </c>
    </row>
    <row r="28" spans="1:9" ht="12.75" customHeight="1" x14ac:dyDescent="0.2">
      <c r="A28" s="65" t="s">
        <v>365</v>
      </c>
      <c r="B28" s="228" t="s">
        <v>1115</v>
      </c>
      <c r="C28" s="229"/>
      <c r="D28" s="228"/>
      <c r="E28" s="303"/>
      <c r="F28" s="303"/>
      <c r="G28" s="229"/>
      <c r="H28" s="66"/>
      <c r="I28" s="70">
        <f>ROUND(($I$27),2)</f>
        <v>282212.15999999997</v>
      </c>
    </row>
    <row r="29" spans="1:9" ht="12.75" customHeight="1" x14ac:dyDescent="0.2">
      <c r="A29" s="65" t="s">
        <v>7</v>
      </c>
      <c r="B29" s="228" t="s">
        <v>213</v>
      </c>
      <c r="C29" s="229"/>
      <c r="D29" s="228"/>
      <c r="E29" s="303"/>
      <c r="F29" s="303"/>
      <c r="G29" s="229"/>
      <c r="H29" s="66"/>
      <c r="I29" s="70">
        <f>ROUND(($I$28),2)</f>
        <v>282212.15999999997</v>
      </c>
    </row>
    <row r="30" spans="1:9" ht="12.75" customHeight="1" x14ac:dyDescent="0.2">
      <c r="A30" s="65" t="s">
        <v>23</v>
      </c>
      <c r="B30" s="228" t="s">
        <v>214</v>
      </c>
      <c r="C30" s="229"/>
      <c r="D30" s="228"/>
      <c r="E30" s="303"/>
      <c r="F30" s="303"/>
      <c r="G30" s="229"/>
      <c r="H30" s="66"/>
      <c r="I30" s="70">
        <f>ROUND(($I$29),2)</f>
        <v>282212.15999999997</v>
      </c>
    </row>
    <row r="31" spans="1:9" ht="12.75" customHeight="1" x14ac:dyDescent="0.2"/>
    <row r="32" spans="1:9" s="156" customFormat="1" ht="24.95" customHeight="1" x14ac:dyDescent="0.25">
      <c r="A32" s="189" t="s">
        <v>215</v>
      </c>
      <c r="B32" s="189"/>
      <c r="C32" s="189"/>
      <c r="D32" s="189"/>
      <c r="E32" s="189"/>
      <c r="F32" s="189"/>
      <c r="G32" s="189"/>
      <c r="H32" s="189"/>
      <c r="I32" s="189"/>
    </row>
    <row r="33" spans="4:4" ht="12.75" customHeight="1" x14ac:dyDescent="0.2">
      <c r="D33" s="148"/>
    </row>
  </sheetData>
  <mergeCells count="47">
    <mergeCell ref="B30:C30"/>
    <mergeCell ref="D30:G30"/>
    <mergeCell ref="A32:C32"/>
    <mergeCell ref="D32:I32"/>
    <mergeCell ref="B27:C27"/>
    <mergeCell ref="D27:G27"/>
    <mergeCell ref="B28:C28"/>
    <mergeCell ref="D28:G28"/>
    <mergeCell ref="B29:C29"/>
    <mergeCell ref="D29:G29"/>
    <mergeCell ref="B24:C24"/>
    <mergeCell ref="D24:G24"/>
    <mergeCell ref="B25:C25"/>
    <mergeCell ref="D25:G25"/>
    <mergeCell ref="B26:C26"/>
    <mergeCell ref="D26:G26"/>
    <mergeCell ref="B21:C21"/>
    <mergeCell ref="D21:G21"/>
    <mergeCell ref="B22:C22"/>
    <mergeCell ref="D22:G22"/>
    <mergeCell ref="B23:C23"/>
    <mergeCell ref="D23:G23"/>
    <mergeCell ref="B18:C18"/>
    <mergeCell ref="D18:G18"/>
    <mergeCell ref="B19:C19"/>
    <mergeCell ref="D19:G19"/>
    <mergeCell ref="B20:C20"/>
    <mergeCell ref="D20:G20"/>
    <mergeCell ref="B17:C17"/>
    <mergeCell ref="D17:G17"/>
    <mergeCell ref="A8:C8"/>
    <mergeCell ref="D8:I8"/>
    <mergeCell ref="A10:C10"/>
    <mergeCell ref="D10:I10"/>
    <mergeCell ref="A12:C12"/>
    <mergeCell ref="D12:I12"/>
    <mergeCell ref="A14:I14"/>
    <mergeCell ref="B15:C15"/>
    <mergeCell ref="D15:G15"/>
    <mergeCell ref="B16:C16"/>
    <mergeCell ref="D16:G16"/>
    <mergeCell ref="A1:C1"/>
    <mergeCell ref="D1:I1"/>
    <mergeCell ref="A3:I3"/>
    <mergeCell ref="A4:I4"/>
    <mergeCell ref="A6:C6"/>
    <mergeCell ref="D6:I6"/>
  </mergeCells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082C6-0B5B-44A6-8D09-793890E1580D}">
  <dimension ref="A1:I66"/>
  <sheetViews>
    <sheetView topLeftCell="A49" workbookViewId="0">
      <selection activeCell="D65" sqref="D65:I65"/>
    </sheetView>
  </sheetViews>
  <sheetFormatPr defaultColWidth="11.5703125" defaultRowHeight="12.75" x14ac:dyDescent="0.2"/>
  <cols>
    <col min="1" max="1" width="3.7109375" style="157" customWidth="1"/>
    <col min="2" max="2" width="10.7109375" style="157" customWidth="1"/>
    <col min="3" max="3" width="15.5703125" style="157" customWidth="1"/>
    <col min="4" max="4" width="4.42578125" style="157" customWidth="1"/>
    <col min="5" max="7" width="9.28515625" style="157" customWidth="1"/>
    <col min="8" max="8" width="19.7109375" style="157" customWidth="1"/>
    <col min="9" max="9" width="14.7109375" style="157" customWidth="1"/>
    <col min="10" max="10" width="19.7109375" style="58" customWidth="1"/>
    <col min="11" max="16384" width="11.5703125" style="58"/>
  </cols>
  <sheetData>
    <row r="1" spans="1:9" ht="25.5" customHeight="1" x14ac:dyDescent="0.2">
      <c r="A1" s="208" t="s">
        <v>99</v>
      </c>
      <c r="B1" s="208"/>
      <c r="C1" s="208"/>
      <c r="D1" s="192" t="s">
        <v>989</v>
      </c>
      <c r="E1" s="192"/>
      <c r="F1" s="192"/>
      <c r="G1" s="192"/>
      <c r="H1" s="192"/>
      <c r="I1" s="192"/>
    </row>
    <row r="2" spans="1:9" x14ac:dyDescent="0.2">
      <c r="A2" s="59"/>
      <c r="B2" s="59"/>
      <c r="C2" s="59"/>
      <c r="D2" s="60"/>
      <c r="E2" s="60"/>
      <c r="F2" s="60"/>
      <c r="G2" s="60"/>
      <c r="H2" s="60"/>
      <c r="I2" s="60"/>
    </row>
    <row r="3" spans="1:9" x14ac:dyDescent="0.2">
      <c r="A3" s="193" t="s">
        <v>1116</v>
      </c>
      <c r="B3" s="193"/>
      <c r="C3" s="193"/>
      <c r="D3" s="193"/>
      <c r="E3" s="193"/>
      <c r="F3" s="193"/>
      <c r="G3" s="193"/>
      <c r="H3" s="193"/>
      <c r="I3" s="193"/>
    </row>
    <row r="4" spans="1:9" x14ac:dyDescent="0.2">
      <c r="A4" s="209" t="s">
        <v>101</v>
      </c>
      <c r="B4" s="209"/>
      <c r="C4" s="209"/>
      <c r="D4" s="209"/>
      <c r="E4" s="209"/>
      <c r="F4" s="209"/>
      <c r="G4" s="209"/>
      <c r="H4" s="209"/>
      <c r="I4" s="209"/>
    </row>
    <row r="5" spans="1:9" x14ac:dyDescent="0.2">
      <c r="A5" s="155"/>
      <c r="B5" s="155"/>
      <c r="C5" s="155"/>
      <c r="D5" s="155"/>
      <c r="E5" s="155"/>
      <c r="F5" s="155"/>
      <c r="G5" s="155"/>
      <c r="H5" s="155"/>
      <c r="I5" s="155"/>
    </row>
    <row r="6" spans="1:9" ht="51" customHeight="1" x14ac:dyDescent="0.2">
      <c r="A6" s="210" t="s">
        <v>102</v>
      </c>
      <c r="B6" s="210"/>
      <c r="C6" s="210"/>
      <c r="D6" s="189" t="s">
        <v>87</v>
      </c>
      <c r="E6" s="189"/>
      <c r="F6" s="189"/>
      <c r="G6" s="189"/>
      <c r="H6" s="189"/>
      <c r="I6" s="189"/>
    </row>
    <row r="7" spans="1:9" ht="3.75" customHeight="1" x14ac:dyDescent="0.2">
      <c r="D7" s="59"/>
      <c r="E7" s="59"/>
      <c r="F7" s="59"/>
      <c r="G7" s="59"/>
    </row>
    <row r="8" spans="1:9" ht="66" customHeight="1" x14ac:dyDescent="0.2">
      <c r="A8" s="189" t="s">
        <v>103</v>
      </c>
      <c r="B8" s="189"/>
      <c r="C8" s="189"/>
      <c r="D8" s="196" t="s">
        <v>1117</v>
      </c>
      <c r="E8" s="196"/>
      <c r="F8" s="196"/>
      <c r="G8" s="196"/>
      <c r="H8" s="196"/>
      <c r="I8" s="196"/>
    </row>
    <row r="9" spans="1:9" ht="3.95" customHeight="1" x14ac:dyDescent="0.2">
      <c r="A9" s="153"/>
      <c r="B9" s="153"/>
      <c r="C9" s="153"/>
    </row>
    <row r="10" spans="1:9" ht="41.25" customHeight="1" x14ac:dyDescent="0.2">
      <c r="A10" s="189" t="s">
        <v>105</v>
      </c>
      <c r="B10" s="189"/>
      <c r="C10" s="189"/>
      <c r="D10" s="189"/>
      <c r="E10" s="189"/>
      <c r="F10" s="189"/>
      <c r="G10" s="189"/>
      <c r="H10" s="189"/>
      <c r="I10" s="189"/>
    </row>
    <row r="11" spans="1:9" ht="3.95" customHeight="1" x14ac:dyDescent="0.2"/>
    <row r="12" spans="1:9" ht="30" customHeight="1" x14ac:dyDescent="0.2">
      <c r="A12" s="189" t="s">
        <v>106</v>
      </c>
      <c r="B12" s="189"/>
      <c r="C12" s="189"/>
      <c r="D12" s="189"/>
      <c r="E12" s="189"/>
      <c r="F12" s="189"/>
      <c r="G12" s="189"/>
      <c r="H12" s="189"/>
      <c r="I12" s="189"/>
    </row>
    <row r="13" spans="1:9" ht="3.75" customHeight="1" x14ac:dyDescent="0.2">
      <c r="A13" s="153"/>
      <c r="B13" s="153"/>
      <c r="C13" s="153"/>
      <c r="D13" s="63"/>
      <c r="E13" s="63"/>
      <c r="F13" s="63"/>
      <c r="G13" s="63"/>
      <c r="H13" s="153"/>
      <c r="I13" s="153"/>
    </row>
    <row r="14" spans="1:9" ht="12.75" customHeight="1" x14ac:dyDescent="0.2">
      <c r="A14" s="198" t="s">
        <v>218</v>
      </c>
      <c r="B14" s="198"/>
      <c r="C14" s="198"/>
      <c r="D14" s="198"/>
      <c r="E14" s="198"/>
      <c r="F14" s="198"/>
      <c r="G14" s="198"/>
      <c r="H14" s="198"/>
      <c r="I14" s="198"/>
    </row>
    <row r="15" spans="1:9" ht="100.5" customHeight="1" x14ac:dyDescent="0.2">
      <c r="A15" s="170" t="s">
        <v>108</v>
      </c>
      <c r="B15" s="283" t="s">
        <v>109</v>
      </c>
      <c r="C15" s="284"/>
      <c r="D15" s="283" t="s">
        <v>110</v>
      </c>
      <c r="E15" s="285"/>
      <c r="F15" s="285"/>
      <c r="G15" s="284"/>
      <c r="H15" s="171" t="s">
        <v>113</v>
      </c>
      <c r="I15" s="170" t="s">
        <v>114</v>
      </c>
    </row>
    <row r="16" spans="1:9" x14ac:dyDescent="0.2">
      <c r="A16" s="161" t="s">
        <v>6</v>
      </c>
      <c r="B16" s="286">
        <v>2</v>
      </c>
      <c r="C16" s="287"/>
      <c r="D16" s="286">
        <v>3</v>
      </c>
      <c r="E16" s="288"/>
      <c r="F16" s="288"/>
      <c r="G16" s="287"/>
      <c r="H16" s="162">
        <v>4</v>
      </c>
      <c r="I16" s="162">
        <v>5</v>
      </c>
    </row>
    <row r="17" spans="1:9" ht="51" customHeight="1" x14ac:dyDescent="0.2">
      <c r="A17" s="65" t="s">
        <v>6</v>
      </c>
      <c r="B17" s="228" t="s">
        <v>115</v>
      </c>
      <c r="C17" s="229"/>
      <c r="D17" s="228" t="s">
        <v>778</v>
      </c>
      <c r="E17" s="303"/>
      <c r="F17" s="303"/>
      <c r="G17" s="229"/>
      <c r="H17" s="66"/>
      <c r="I17" s="67"/>
    </row>
    <row r="18" spans="1:9" ht="183.6" customHeight="1" x14ac:dyDescent="0.2">
      <c r="A18" s="163" t="s">
        <v>117</v>
      </c>
      <c r="B18" s="289" t="s">
        <v>779</v>
      </c>
      <c r="C18" s="290"/>
      <c r="D18" s="291" t="s">
        <v>780</v>
      </c>
      <c r="E18" s="292"/>
      <c r="F18" s="292"/>
      <c r="G18" s="293"/>
      <c r="H18" s="165" t="s">
        <v>781</v>
      </c>
      <c r="I18" s="166">
        <f>ROUND(58.06 * 1 * 540 * 1 * 1.1,2)</f>
        <v>34487.64</v>
      </c>
    </row>
    <row r="19" spans="1:9" ht="15.75" customHeight="1" x14ac:dyDescent="0.2">
      <c r="A19" s="167" t="s">
        <v>129</v>
      </c>
      <c r="B19" s="294" t="s">
        <v>130</v>
      </c>
      <c r="C19" s="295"/>
      <c r="D19" s="294"/>
      <c r="E19" s="296"/>
      <c r="F19" s="296"/>
      <c r="G19" s="295"/>
      <c r="H19" s="168"/>
      <c r="I19" s="169"/>
    </row>
    <row r="20" spans="1:9" ht="12.75" customHeight="1" x14ac:dyDescent="0.2">
      <c r="A20" s="74" t="s">
        <v>129</v>
      </c>
      <c r="B20" s="219" t="s">
        <v>176</v>
      </c>
      <c r="C20" s="220"/>
      <c r="D20" s="219" t="s">
        <v>358</v>
      </c>
      <c r="E20" s="221"/>
      <c r="F20" s="221"/>
      <c r="G20" s="220"/>
      <c r="H20" s="75"/>
      <c r="I20" s="76"/>
    </row>
    <row r="21" spans="1:9" ht="51" customHeight="1" x14ac:dyDescent="0.2">
      <c r="A21" s="74" t="s">
        <v>129</v>
      </c>
      <c r="B21" s="219" t="s">
        <v>782</v>
      </c>
      <c r="C21" s="220"/>
      <c r="D21" s="219" t="s">
        <v>783</v>
      </c>
      <c r="E21" s="221"/>
      <c r="F21" s="221"/>
      <c r="G21" s="220"/>
      <c r="H21" s="75"/>
      <c r="I21" s="76"/>
    </row>
    <row r="22" spans="1:9" ht="15.75" customHeight="1" x14ac:dyDescent="0.2">
      <c r="A22" s="74" t="s">
        <v>129</v>
      </c>
      <c r="B22" s="240" t="s">
        <v>137</v>
      </c>
      <c r="C22" s="241"/>
      <c r="D22" s="240"/>
      <c r="E22" s="242"/>
      <c r="F22" s="242"/>
      <c r="G22" s="241"/>
      <c r="H22" s="77"/>
      <c r="I22" s="78"/>
    </row>
    <row r="23" spans="1:9" ht="12.75" customHeight="1" x14ac:dyDescent="0.2">
      <c r="A23" s="96" t="s">
        <v>129</v>
      </c>
      <c r="B23" s="231" t="s">
        <v>224</v>
      </c>
      <c r="C23" s="232"/>
      <c r="D23" s="233">
        <v>1</v>
      </c>
      <c r="E23" s="234"/>
      <c r="F23" s="234"/>
      <c r="G23" s="235"/>
      <c r="H23" s="97"/>
      <c r="I23" s="80"/>
    </row>
    <row r="24" spans="1:9" ht="196.35" customHeight="1" x14ac:dyDescent="0.2">
      <c r="A24" s="150" t="s">
        <v>121</v>
      </c>
      <c r="B24" s="236" t="s">
        <v>784</v>
      </c>
      <c r="C24" s="237"/>
      <c r="D24" s="238" t="s">
        <v>785</v>
      </c>
      <c r="E24" s="189"/>
      <c r="F24" s="189"/>
      <c r="G24" s="239"/>
      <c r="H24" s="152" t="s">
        <v>786</v>
      </c>
      <c r="I24" s="149">
        <f>ROUND(26.44 * 0.8 * 540 * 1 * 1.2,2)</f>
        <v>13706.5</v>
      </c>
    </row>
    <row r="25" spans="1:9" ht="15.75" customHeight="1" x14ac:dyDescent="0.2">
      <c r="A25" s="167" t="s">
        <v>129</v>
      </c>
      <c r="B25" s="294" t="s">
        <v>130</v>
      </c>
      <c r="C25" s="295"/>
      <c r="D25" s="294"/>
      <c r="E25" s="296"/>
      <c r="F25" s="296"/>
      <c r="G25" s="295"/>
      <c r="H25" s="168"/>
      <c r="I25" s="169"/>
    </row>
    <row r="26" spans="1:9" ht="12.75" customHeight="1" x14ac:dyDescent="0.2">
      <c r="A26" s="74" t="s">
        <v>129</v>
      </c>
      <c r="B26" s="219" t="s">
        <v>176</v>
      </c>
      <c r="C26" s="220"/>
      <c r="D26" s="219" t="s">
        <v>358</v>
      </c>
      <c r="E26" s="221"/>
      <c r="F26" s="221"/>
      <c r="G26" s="220"/>
      <c r="H26" s="75"/>
      <c r="I26" s="76"/>
    </row>
    <row r="27" spans="1:9" ht="89.25" customHeight="1" x14ac:dyDescent="0.2">
      <c r="A27" s="74" t="s">
        <v>129</v>
      </c>
      <c r="B27" s="219" t="s">
        <v>135</v>
      </c>
      <c r="C27" s="220"/>
      <c r="D27" s="219" t="s">
        <v>144</v>
      </c>
      <c r="E27" s="221"/>
      <c r="F27" s="221"/>
      <c r="G27" s="220"/>
      <c r="H27" s="75"/>
      <c r="I27" s="76"/>
    </row>
    <row r="28" spans="1:9" ht="15.75" customHeight="1" x14ac:dyDescent="0.2">
      <c r="A28" s="74" t="s">
        <v>129</v>
      </c>
      <c r="B28" s="240" t="s">
        <v>137</v>
      </c>
      <c r="C28" s="241"/>
      <c r="D28" s="240"/>
      <c r="E28" s="242"/>
      <c r="F28" s="242"/>
      <c r="G28" s="241"/>
      <c r="H28" s="77"/>
      <c r="I28" s="78"/>
    </row>
    <row r="29" spans="1:9" ht="12.75" customHeight="1" x14ac:dyDescent="0.2">
      <c r="A29" s="96" t="s">
        <v>129</v>
      </c>
      <c r="B29" s="231" t="s">
        <v>224</v>
      </c>
      <c r="C29" s="232"/>
      <c r="D29" s="233">
        <v>1</v>
      </c>
      <c r="E29" s="234"/>
      <c r="F29" s="234"/>
      <c r="G29" s="235"/>
      <c r="H29" s="97"/>
      <c r="I29" s="80"/>
    </row>
    <row r="30" spans="1:9" ht="145.35" customHeight="1" x14ac:dyDescent="0.2">
      <c r="A30" s="150" t="s">
        <v>123</v>
      </c>
      <c r="B30" s="236" t="s">
        <v>140</v>
      </c>
      <c r="C30" s="237"/>
      <c r="D30" s="238" t="s">
        <v>767</v>
      </c>
      <c r="E30" s="189"/>
      <c r="F30" s="189"/>
      <c r="G30" s="239"/>
      <c r="H30" s="152" t="s">
        <v>787</v>
      </c>
      <c r="I30" s="149">
        <f>ROUND(0.167 * 24 * 540 * 1 * 1.2,2)</f>
        <v>2597.1799999999998</v>
      </c>
    </row>
    <row r="31" spans="1:9" ht="15.75" customHeight="1" x14ac:dyDescent="0.2">
      <c r="A31" s="167" t="s">
        <v>129</v>
      </c>
      <c r="B31" s="294" t="s">
        <v>130</v>
      </c>
      <c r="C31" s="295"/>
      <c r="D31" s="294"/>
      <c r="E31" s="296"/>
      <c r="F31" s="296"/>
      <c r="G31" s="295"/>
      <c r="H31" s="168"/>
      <c r="I31" s="169"/>
    </row>
    <row r="32" spans="1:9" ht="12.75" customHeight="1" x14ac:dyDescent="0.2">
      <c r="A32" s="74" t="s">
        <v>129</v>
      </c>
      <c r="B32" s="219" t="s">
        <v>176</v>
      </c>
      <c r="C32" s="220"/>
      <c r="D32" s="219" t="s">
        <v>358</v>
      </c>
      <c r="E32" s="221"/>
      <c r="F32" s="221"/>
      <c r="G32" s="220"/>
      <c r="H32" s="75"/>
      <c r="I32" s="76"/>
    </row>
    <row r="33" spans="1:9" ht="89.25" customHeight="1" x14ac:dyDescent="0.2">
      <c r="A33" s="74" t="s">
        <v>129</v>
      </c>
      <c r="B33" s="219" t="s">
        <v>135</v>
      </c>
      <c r="C33" s="220"/>
      <c r="D33" s="219" t="s">
        <v>144</v>
      </c>
      <c r="E33" s="221"/>
      <c r="F33" s="221"/>
      <c r="G33" s="220"/>
      <c r="H33" s="75"/>
      <c r="I33" s="76"/>
    </row>
    <row r="34" spans="1:9" ht="15.75" customHeight="1" x14ac:dyDescent="0.2">
      <c r="A34" s="74" t="s">
        <v>129</v>
      </c>
      <c r="B34" s="240" t="s">
        <v>137</v>
      </c>
      <c r="C34" s="241"/>
      <c r="D34" s="240"/>
      <c r="E34" s="242"/>
      <c r="F34" s="242"/>
      <c r="G34" s="241"/>
      <c r="H34" s="77"/>
      <c r="I34" s="78"/>
    </row>
    <row r="35" spans="1:9" ht="12.75" customHeight="1" x14ac:dyDescent="0.2">
      <c r="A35" s="96" t="s">
        <v>129</v>
      </c>
      <c r="B35" s="231" t="s">
        <v>224</v>
      </c>
      <c r="C35" s="232"/>
      <c r="D35" s="233">
        <v>1</v>
      </c>
      <c r="E35" s="234"/>
      <c r="F35" s="234"/>
      <c r="G35" s="235"/>
      <c r="H35" s="97"/>
      <c r="I35" s="80"/>
    </row>
    <row r="36" spans="1:9" ht="196.35" customHeight="1" x14ac:dyDescent="0.2">
      <c r="A36" s="150" t="s">
        <v>230</v>
      </c>
      <c r="B36" s="236" t="s">
        <v>788</v>
      </c>
      <c r="C36" s="237"/>
      <c r="D36" s="238" t="s">
        <v>789</v>
      </c>
      <c r="E36" s="189"/>
      <c r="F36" s="189"/>
      <c r="G36" s="239"/>
      <c r="H36" s="152" t="s">
        <v>790</v>
      </c>
      <c r="I36" s="149">
        <f>ROUND(35.76 * 0.8 * 540 * 1 * 1.2,2)</f>
        <v>18537.98</v>
      </c>
    </row>
    <row r="37" spans="1:9" ht="15.75" customHeight="1" x14ac:dyDescent="0.2">
      <c r="A37" s="167" t="s">
        <v>129</v>
      </c>
      <c r="B37" s="294" t="s">
        <v>130</v>
      </c>
      <c r="C37" s="295"/>
      <c r="D37" s="294"/>
      <c r="E37" s="296"/>
      <c r="F37" s="296"/>
      <c r="G37" s="295"/>
      <c r="H37" s="168"/>
      <c r="I37" s="169"/>
    </row>
    <row r="38" spans="1:9" ht="12.75" customHeight="1" x14ac:dyDescent="0.2">
      <c r="A38" s="74" t="s">
        <v>129</v>
      </c>
      <c r="B38" s="219" t="s">
        <v>176</v>
      </c>
      <c r="C38" s="220"/>
      <c r="D38" s="219" t="s">
        <v>358</v>
      </c>
      <c r="E38" s="221"/>
      <c r="F38" s="221"/>
      <c r="G38" s="220"/>
      <c r="H38" s="75"/>
      <c r="I38" s="76"/>
    </row>
    <row r="39" spans="1:9" ht="89.25" customHeight="1" x14ac:dyDescent="0.2">
      <c r="A39" s="74" t="s">
        <v>129</v>
      </c>
      <c r="B39" s="219" t="s">
        <v>135</v>
      </c>
      <c r="C39" s="220"/>
      <c r="D39" s="219" t="s">
        <v>144</v>
      </c>
      <c r="E39" s="221"/>
      <c r="F39" s="221"/>
      <c r="G39" s="220"/>
      <c r="H39" s="75"/>
      <c r="I39" s="76"/>
    </row>
    <row r="40" spans="1:9" ht="15.75" customHeight="1" x14ac:dyDescent="0.2">
      <c r="A40" s="74" t="s">
        <v>129</v>
      </c>
      <c r="B40" s="240" t="s">
        <v>137</v>
      </c>
      <c r="C40" s="241"/>
      <c r="D40" s="240"/>
      <c r="E40" s="242"/>
      <c r="F40" s="242"/>
      <c r="G40" s="241"/>
      <c r="H40" s="77"/>
      <c r="I40" s="78"/>
    </row>
    <row r="41" spans="1:9" ht="12.75" customHeight="1" x14ac:dyDescent="0.2">
      <c r="A41" s="96" t="s">
        <v>129</v>
      </c>
      <c r="B41" s="231" t="s">
        <v>224</v>
      </c>
      <c r="C41" s="232"/>
      <c r="D41" s="233">
        <v>1</v>
      </c>
      <c r="E41" s="234"/>
      <c r="F41" s="234"/>
      <c r="G41" s="235"/>
      <c r="H41" s="97"/>
      <c r="I41" s="80"/>
    </row>
    <row r="42" spans="1:9" ht="63.75" customHeight="1" x14ac:dyDescent="0.2">
      <c r="A42" s="96" t="s">
        <v>365</v>
      </c>
      <c r="B42" s="243" t="s">
        <v>791</v>
      </c>
      <c r="C42" s="244"/>
      <c r="D42" s="243"/>
      <c r="E42" s="245"/>
      <c r="F42" s="245"/>
      <c r="G42" s="244"/>
      <c r="H42" s="83"/>
      <c r="I42" s="84">
        <f>ROUND((SUM($I$18:$I$36)),2)</f>
        <v>69329.3</v>
      </c>
    </row>
    <row r="43" spans="1:9" ht="63.75" customHeight="1" x14ac:dyDescent="0.2">
      <c r="A43" s="65" t="s">
        <v>367</v>
      </c>
      <c r="B43" s="228" t="s">
        <v>792</v>
      </c>
      <c r="C43" s="229"/>
      <c r="D43" s="228"/>
      <c r="E43" s="303"/>
      <c r="F43" s="303"/>
      <c r="G43" s="229"/>
      <c r="H43" s="66"/>
      <c r="I43" s="70">
        <f>ROUND(($I$42),2)</f>
        <v>69329.3</v>
      </c>
    </row>
    <row r="44" spans="1:9" ht="25.5" customHeight="1" x14ac:dyDescent="0.2">
      <c r="A44" s="65" t="s">
        <v>7</v>
      </c>
      <c r="B44" s="228" t="s">
        <v>115</v>
      </c>
      <c r="C44" s="229"/>
      <c r="D44" s="228" t="s">
        <v>793</v>
      </c>
      <c r="E44" s="303"/>
      <c r="F44" s="303"/>
      <c r="G44" s="229"/>
      <c r="H44" s="66"/>
      <c r="I44" s="67"/>
    </row>
    <row r="45" spans="1:9" ht="38.25" customHeight="1" x14ac:dyDescent="0.2">
      <c r="A45" s="65" t="s">
        <v>125</v>
      </c>
      <c r="B45" s="246" t="s">
        <v>794</v>
      </c>
      <c r="C45" s="247"/>
      <c r="D45" s="246" t="s">
        <v>795</v>
      </c>
      <c r="E45" s="273"/>
      <c r="F45" s="273"/>
      <c r="G45" s="247"/>
      <c r="H45" s="68" t="s">
        <v>796</v>
      </c>
      <c r="I45" s="69">
        <v>11664</v>
      </c>
    </row>
    <row r="46" spans="1:9" ht="196.35" customHeight="1" x14ac:dyDescent="0.2">
      <c r="A46" s="163" t="s">
        <v>139</v>
      </c>
      <c r="B46" s="289" t="s">
        <v>797</v>
      </c>
      <c r="C46" s="290"/>
      <c r="D46" s="291" t="s">
        <v>798</v>
      </c>
      <c r="E46" s="292"/>
      <c r="F46" s="292"/>
      <c r="G46" s="293"/>
      <c r="H46" s="165" t="s">
        <v>799</v>
      </c>
      <c r="I46" s="166">
        <f>ROUND(29.64 * 0.4 * 540 * 1 * 1.2,2)</f>
        <v>7682.69</v>
      </c>
    </row>
    <row r="47" spans="1:9" ht="15.75" customHeight="1" x14ac:dyDescent="0.2">
      <c r="A47" s="167" t="s">
        <v>129</v>
      </c>
      <c r="B47" s="294" t="s">
        <v>130</v>
      </c>
      <c r="C47" s="295"/>
      <c r="D47" s="294"/>
      <c r="E47" s="296"/>
      <c r="F47" s="296"/>
      <c r="G47" s="295"/>
      <c r="H47" s="168"/>
      <c r="I47" s="169"/>
    </row>
    <row r="48" spans="1:9" ht="12.75" customHeight="1" x14ac:dyDescent="0.2">
      <c r="A48" s="74" t="s">
        <v>129</v>
      </c>
      <c r="B48" s="219" t="s">
        <v>176</v>
      </c>
      <c r="C48" s="220"/>
      <c r="D48" s="219" t="s">
        <v>358</v>
      </c>
      <c r="E48" s="221"/>
      <c r="F48" s="221"/>
      <c r="G48" s="220"/>
      <c r="H48" s="75"/>
      <c r="I48" s="76"/>
    </row>
    <row r="49" spans="1:9" ht="89.25" customHeight="1" x14ac:dyDescent="0.2">
      <c r="A49" s="74" t="s">
        <v>129</v>
      </c>
      <c r="B49" s="219" t="s">
        <v>135</v>
      </c>
      <c r="C49" s="220"/>
      <c r="D49" s="219" t="s">
        <v>144</v>
      </c>
      <c r="E49" s="221"/>
      <c r="F49" s="221"/>
      <c r="G49" s="220"/>
      <c r="H49" s="75"/>
      <c r="I49" s="76"/>
    </row>
    <row r="50" spans="1:9" ht="15.75" customHeight="1" x14ac:dyDescent="0.2">
      <c r="A50" s="74" t="s">
        <v>129</v>
      </c>
      <c r="B50" s="240" t="s">
        <v>137</v>
      </c>
      <c r="C50" s="241"/>
      <c r="D50" s="240"/>
      <c r="E50" s="242"/>
      <c r="F50" s="242"/>
      <c r="G50" s="241"/>
      <c r="H50" s="77"/>
      <c r="I50" s="78"/>
    </row>
    <row r="51" spans="1:9" ht="12.75" customHeight="1" x14ac:dyDescent="0.2">
      <c r="A51" s="96" t="s">
        <v>129</v>
      </c>
      <c r="B51" s="231" t="s">
        <v>224</v>
      </c>
      <c r="C51" s="232"/>
      <c r="D51" s="233">
        <v>1</v>
      </c>
      <c r="E51" s="234"/>
      <c r="F51" s="234"/>
      <c r="G51" s="235"/>
      <c r="H51" s="97"/>
      <c r="I51" s="80"/>
    </row>
    <row r="52" spans="1:9" ht="183.6" customHeight="1" x14ac:dyDescent="0.2">
      <c r="A52" s="206" t="s">
        <v>145</v>
      </c>
      <c r="B52" s="236" t="s">
        <v>788</v>
      </c>
      <c r="C52" s="237"/>
      <c r="D52" s="238" t="s">
        <v>800</v>
      </c>
      <c r="E52" s="189"/>
      <c r="F52" s="189"/>
      <c r="G52" s="239"/>
      <c r="H52" s="202" t="s">
        <v>801</v>
      </c>
      <c r="I52" s="205">
        <f>ROUND(35.76 * 0.3 * 540 * 1 * 1.2,2)</f>
        <v>6951.74</v>
      </c>
    </row>
    <row r="53" spans="1:9" ht="12.75" customHeight="1" x14ac:dyDescent="0.2">
      <c r="A53" s="206"/>
      <c r="B53" s="236"/>
      <c r="C53" s="237"/>
      <c r="D53" s="238"/>
      <c r="E53" s="189"/>
      <c r="F53" s="189"/>
      <c r="G53" s="239"/>
      <c r="H53" s="202"/>
      <c r="I53" s="205"/>
    </row>
    <row r="54" spans="1:9" ht="15.75" customHeight="1" x14ac:dyDescent="0.2">
      <c r="A54" s="167" t="s">
        <v>129</v>
      </c>
      <c r="B54" s="294" t="s">
        <v>130</v>
      </c>
      <c r="C54" s="295"/>
      <c r="D54" s="294"/>
      <c r="E54" s="296"/>
      <c r="F54" s="296"/>
      <c r="G54" s="295"/>
      <c r="H54" s="168"/>
      <c r="I54" s="169"/>
    </row>
    <row r="55" spans="1:9" ht="12.75" customHeight="1" x14ac:dyDescent="0.2">
      <c r="A55" s="74" t="s">
        <v>129</v>
      </c>
      <c r="B55" s="219" t="s">
        <v>176</v>
      </c>
      <c r="C55" s="220"/>
      <c r="D55" s="219" t="s">
        <v>358</v>
      </c>
      <c r="E55" s="221"/>
      <c r="F55" s="221"/>
      <c r="G55" s="220"/>
      <c r="H55" s="75"/>
      <c r="I55" s="76"/>
    </row>
    <row r="56" spans="1:9" ht="89.25" customHeight="1" x14ac:dyDescent="0.2">
      <c r="A56" s="74" t="s">
        <v>129</v>
      </c>
      <c r="B56" s="219" t="s">
        <v>135</v>
      </c>
      <c r="C56" s="220"/>
      <c r="D56" s="219" t="s">
        <v>144</v>
      </c>
      <c r="E56" s="221"/>
      <c r="F56" s="221"/>
      <c r="G56" s="220"/>
      <c r="H56" s="75"/>
      <c r="I56" s="76"/>
    </row>
    <row r="57" spans="1:9" ht="15.75" customHeight="1" x14ac:dyDescent="0.2">
      <c r="A57" s="74" t="s">
        <v>129</v>
      </c>
      <c r="B57" s="240" t="s">
        <v>137</v>
      </c>
      <c r="C57" s="241"/>
      <c r="D57" s="240"/>
      <c r="E57" s="242"/>
      <c r="F57" s="242"/>
      <c r="G57" s="241"/>
      <c r="H57" s="77"/>
      <c r="I57" s="78"/>
    </row>
    <row r="58" spans="1:9" ht="12.75" customHeight="1" x14ac:dyDescent="0.2">
      <c r="A58" s="96" t="s">
        <v>129</v>
      </c>
      <c r="B58" s="231" t="s">
        <v>224</v>
      </c>
      <c r="C58" s="232"/>
      <c r="D58" s="233">
        <v>1</v>
      </c>
      <c r="E58" s="234"/>
      <c r="F58" s="234"/>
      <c r="G58" s="235"/>
      <c r="H58" s="97"/>
      <c r="I58" s="80"/>
    </row>
    <row r="59" spans="1:9" ht="38.25" customHeight="1" x14ac:dyDescent="0.2">
      <c r="A59" s="96" t="s">
        <v>147</v>
      </c>
      <c r="B59" s="243" t="s">
        <v>802</v>
      </c>
      <c r="C59" s="244"/>
      <c r="D59" s="243"/>
      <c r="E59" s="245"/>
      <c r="F59" s="245"/>
      <c r="G59" s="244"/>
      <c r="H59" s="83"/>
      <c r="I59" s="84">
        <f>ROUND((SUM($I$45:$I$52)),2)</f>
        <v>26298.43</v>
      </c>
    </row>
    <row r="60" spans="1:9" ht="38.25" customHeight="1" x14ac:dyDescent="0.2">
      <c r="A60" s="65" t="s">
        <v>240</v>
      </c>
      <c r="B60" s="228" t="s">
        <v>803</v>
      </c>
      <c r="C60" s="229"/>
      <c r="D60" s="228"/>
      <c r="E60" s="303"/>
      <c r="F60" s="303"/>
      <c r="G60" s="229"/>
      <c r="H60" s="66"/>
      <c r="I60" s="70">
        <f>ROUND(($I$59),2)</f>
        <v>26298.43</v>
      </c>
    </row>
    <row r="61" spans="1:9" ht="12.75" customHeight="1" x14ac:dyDescent="0.2">
      <c r="A61" s="65" t="s">
        <v>23</v>
      </c>
      <c r="B61" s="228" t="s">
        <v>213</v>
      </c>
      <c r="C61" s="229"/>
      <c r="D61" s="228"/>
      <c r="E61" s="303"/>
      <c r="F61" s="303"/>
      <c r="G61" s="229"/>
      <c r="H61" s="66"/>
      <c r="I61" s="70">
        <f>ROUND(($I$43 + $I$60),2)</f>
        <v>95627.73</v>
      </c>
    </row>
    <row r="62" spans="1:9" ht="38.25" customHeight="1" x14ac:dyDescent="0.2">
      <c r="A62" s="65" t="s">
        <v>24</v>
      </c>
      <c r="B62" s="246" t="s">
        <v>774</v>
      </c>
      <c r="C62" s="247"/>
      <c r="D62" s="246" t="s">
        <v>775</v>
      </c>
      <c r="E62" s="273"/>
      <c r="F62" s="273"/>
      <c r="G62" s="247"/>
      <c r="H62" s="68" t="s">
        <v>804</v>
      </c>
      <c r="I62" s="69">
        <f>ROUND(($I$61) * 4 * 1,2)</f>
        <v>382510.92</v>
      </c>
    </row>
    <row r="63" spans="1:9" ht="12.75" customHeight="1" x14ac:dyDescent="0.2">
      <c r="A63" s="65" t="s">
        <v>25</v>
      </c>
      <c r="B63" s="228" t="s">
        <v>214</v>
      </c>
      <c r="C63" s="229"/>
      <c r="D63" s="228"/>
      <c r="E63" s="303"/>
      <c r="F63" s="303"/>
      <c r="G63" s="229"/>
      <c r="H63" s="66"/>
      <c r="I63" s="70">
        <f>ROUND(($I$62),2)</f>
        <v>382510.92</v>
      </c>
    </row>
    <row r="64" spans="1:9" ht="12.75" customHeight="1" x14ac:dyDescent="0.2"/>
    <row r="65" spans="1:9" s="156" customFormat="1" ht="24.95" customHeight="1" x14ac:dyDescent="0.25">
      <c r="A65" s="189" t="s">
        <v>215</v>
      </c>
      <c r="B65" s="189"/>
      <c r="C65" s="189"/>
      <c r="D65" s="189"/>
      <c r="E65" s="189"/>
      <c r="F65" s="189"/>
      <c r="G65" s="189"/>
      <c r="H65" s="189"/>
      <c r="I65" s="189"/>
    </row>
    <row r="66" spans="1:9" ht="12.75" customHeight="1" x14ac:dyDescent="0.2">
      <c r="D66" s="148"/>
    </row>
  </sheetData>
  <mergeCells count="114">
    <mergeCell ref="B63:C63"/>
    <mergeCell ref="D63:G63"/>
    <mergeCell ref="A65:C65"/>
    <mergeCell ref="D65:I65"/>
    <mergeCell ref="B60:C60"/>
    <mergeCell ref="D60:G60"/>
    <mergeCell ref="B61:C61"/>
    <mergeCell ref="D61:G61"/>
    <mergeCell ref="B62:C62"/>
    <mergeCell ref="D62:G62"/>
    <mergeCell ref="B57:C57"/>
    <mergeCell ref="D57:G57"/>
    <mergeCell ref="B58:C58"/>
    <mergeCell ref="D58:G58"/>
    <mergeCell ref="B59:C59"/>
    <mergeCell ref="D59:G59"/>
    <mergeCell ref="I52:I53"/>
    <mergeCell ref="B54:C54"/>
    <mergeCell ref="D54:G54"/>
    <mergeCell ref="B55:C55"/>
    <mergeCell ref="D55:G55"/>
    <mergeCell ref="B56:C56"/>
    <mergeCell ref="D56:G56"/>
    <mergeCell ref="B51:C51"/>
    <mergeCell ref="D51:G51"/>
    <mergeCell ref="A52:A53"/>
    <mergeCell ref="B52:C53"/>
    <mergeCell ref="D52:G53"/>
    <mergeCell ref="H52:H53"/>
    <mergeCell ref="B48:C48"/>
    <mergeCell ref="D48:G48"/>
    <mergeCell ref="B49:C49"/>
    <mergeCell ref="D49:G49"/>
    <mergeCell ref="B50:C50"/>
    <mergeCell ref="D50:G50"/>
    <mergeCell ref="B45:C45"/>
    <mergeCell ref="D45:G45"/>
    <mergeCell ref="B46:C46"/>
    <mergeCell ref="D46:G46"/>
    <mergeCell ref="B47:C47"/>
    <mergeCell ref="D47:G47"/>
    <mergeCell ref="B42:C42"/>
    <mergeCell ref="D42:G42"/>
    <mergeCell ref="B43:C43"/>
    <mergeCell ref="D43:G43"/>
    <mergeCell ref="B44:C44"/>
    <mergeCell ref="D44:G44"/>
    <mergeCell ref="B39:C39"/>
    <mergeCell ref="D39:G39"/>
    <mergeCell ref="B40:C40"/>
    <mergeCell ref="D40:G40"/>
    <mergeCell ref="B41:C41"/>
    <mergeCell ref="D41:G41"/>
    <mergeCell ref="B36:C36"/>
    <mergeCell ref="D36:G36"/>
    <mergeCell ref="B37:C37"/>
    <mergeCell ref="D37:G37"/>
    <mergeCell ref="B38:C38"/>
    <mergeCell ref="D38:G38"/>
    <mergeCell ref="B33:C33"/>
    <mergeCell ref="D33:G33"/>
    <mergeCell ref="B34:C34"/>
    <mergeCell ref="D34:G34"/>
    <mergeCell ref="B35:C35"/>
    <mergeCell ref="D35:G35"/>
    <mergeCell ref="B30:C30"/>
    <mergeCell ref="D30:G30"/>
    <mergeCell ref="B31:C31"/>
    <mergeCell ref="D31:G31"/>
    <mergeCell ref="B32:C32"/>
    <mergeCell ref="D32:G32"/>
    <mergeCell ref="B27:C27"/>
    <mergeCell ref="D27:G27"/>
    <mergeCell ref="B28:C28"/>
    <mergeCell ref="D28:G28"/>
    <mergeCell ref="B29:C29"/>
    <mergeCell ref="D29:G29"/>
    <mergeCell ref="B24:C24"/>
    <mergeCell ref="D24:G24"/>
    <mergeCell ref="B25:C25"/>
    <mergeCell ref="D25:G25"/>
    <mergeCell ref="B26:C26"/>
    <mergeCell ref="D26:G26"/>
    <mergeCell ref="B21:C21"/>
    <mergeCell ref="D21:G21"/>
    <mergeCell ref="B22:C22"/>
    <mergeCell ref="D22:G22"/>
    <mergeCell ref="B23:C23"/>
    <mergeCell ref="D23:G23"/>
    <mergeCell ref="B18:C18"/>
    <mergeCell ref="D18:G18"/>
    <mergeCell ref="B19:C19"/>
    <mergeCell ref="D19:G19"/>
    <mergeCell ref="B20:C20"/>
    <mergeCell ref="D20:G20"/>
    <mergeCell ref="B16:C16"/>
    <mergeCell ref="D16:G16"/>
    <mergeCell ref="B17:C17"/>
    <mergeCell ref="D17:G17"/>
    <mergeCell ref="A8:C8"/>
    <mergeCell ref="D8:I8"/>
    <mergeCell ref="A10:C10"/>
    <mergeCell ref="D10:I10"/>
    <mergeCell ref="A12:C12"/>
    <mergeCell ref="D12:I12"/>
    <mergeCell ref="A1:C1"/>
    <mergeCell ref="D1:I1"/>
    <mergeCell ref="A3:I3"/>
    <mergeCell ref="A4:I4"/>
    <mergeCell ref="A6:C6"/>
    <mergeCell ref="D6:I6"/>
    <mergeCell ref="A14:I14"/>
    <mergeCell ref="B15:C15"/>
    <mergeCell ref="D15:G15"/>
  </mergeCells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58BF5-54AE-47BC-B80A-D3A533C75926}">
  <dimension ref="A1:I177"/>
  <sheetViews>
    <sheetView topLeftCell="A166" workbookViewId="0">
      <selection activeCell="P172" sqref="P172:P173"/>
    </sheetView>
  </sheetViews>
  <sheetFormatPr defaultColWidth="11.5703125" defaultRowHeight="12.75" x14ac:dyDescent="0.2"/>
  <cols>
    <col min="1" max="1" width="3.7109375" style="107" customWidth="1"/>
    <col min="2" max="2" width="10.7109375" style="107" customWidth="1"/>
    <col min="3" max="3" width="15.5703125" style="107" customWidth="1"/>
    <col min="4" max="4" width="4.42578125" style="107" customWidth="1"/>
    <col min="5" max="7" width="9.28515625" style="107" customWidth="1"/>
    <col min="8" max="8" width="19.7109375" style="107" customWidth="1"/>
    <col min="9" max="9" width="14.7109375" style="107" customWidth="1"/>
    <col min="10" max="10" width="19.7109375" style="58" customWidth="1"/>
    <col min="11" max="16384" width="11.5703125" style="58"/>
  </cols>
  <sheetData>
    <row r="1" spans="1:9" ht="25.5" customHeight="1" x14ac:dyDescent="0.2">
      <c r="A1" s="208" t="s">
        <v>99</v>
      </c>
      <c r="B1" s="208"/>
      <c r="C1" s="208"/>
      <c r="D1" s="192" t="s">
        <v>885</v>
      </c>
      <c r="E1" s="192"/>
      <c r="F1" s="192"/>
      <c r="G1" s="192"/>
      <c r="H1" s="192"/>
      <c r="I1" s="192"/>
    </row>
    <row r="2" spans="1:9" x14ac:dyDescent="0.2">
      <c r="A2" s="59"/>
      <c r="B2" s="59"/>
      <c r="C2" s="59"/>
      <c r="D2" s="60"/>
      <c r="E2" s="60"/>
      <c r="F2" s="60"/>
      <c r="G2" s="60"/>
      <c r="H2" s="60"/>
      <c r="I2" s="60"/>
    </row>
    <row r="3" spans="1:9" x14ac:dyDescent="0.2">
      <c r="A3" s="193" t="s">
        <v>216</v>
      </c>
      <c r="B3" s="193"/>
      <c r="C3" s="193"/>
      <c r="D3" s="193"/>
      <c r="E3" s="193"/>
      <c r="F3" s="193"/>
      <c r="G3" s="193"/>
      <c r="H3" s="193"/>
      <c r="I3" s="193"/>
    </row>
    <row r="4" spans="1:9" x14ac:dyDescent="0.2">
      <c r="A4" s="209" t="s">
        <v>101</v>
      </c>
      <c r="B4" s="209"/>
      <c r="C4" s="209"/>
      <c r="D4" s="209"/>
      <c r="E4" s="209"/>
      <c r="F4" s="209"/>
      <c r="G4" s="209"/>
      <c r="H4" s="209"/>
      <c r="I4" s="209"/>
    </row>
    <row r="5" spans="1:9" x14ac:dyDescent="0.2">
      <c r="A5" s="92"/>
      <c r="B5" s="92"/>
      <c r="C5" s="92"/>
      <c r="D5" s="92"/>
      <c r="E5" s="92"/>
      <c r="F5" s="92"/>
      <c r="G5" s="92"/>
      <c r="H5" s="92"/>
      <c r="I5" s="92"/>
    </row>
    <row r="6" spans="1:9" ht="51" customHeight="1" x14ac:dyDescent="0.2">
      <c r="A6" s="210" t="s">
        <v>102</v>
      </c>
      <c r="B6" s="210"/>
      <c r="C6" s="210"/>
      <c r="D6" s="189" t="s">
        <v>87</v>
      </c>
      <c r="E6" s="189"/>
      <c r="F6" s="189"/>
      <c r="G6" s="189"/>
      <c r="H6" s="189"/>
      <c r="I6" s="189"/>
    </row>
    <row r="7" spans="1:9" ht="3.75" customHeight="1" x14ac:dyDescent="0.2">
      <c r="D7" s="59"/>
      <c r="E7" s="59"/>
      <c r="F7" s="59"/>
      <c r="G7" s="59"/>
    </row>
    <row r="8" spans="1:9" ht="66" customHeight="1" x14ac:dyDescent="0.2">
      <c r="A8" s="189" t="s">
        <v>103</v>
      </c>
      <c r="B8" s="189"/>
      <c r="C8" s="189"/>
      <c r="D8" s="196" t="s">
        <v>217</v>
      </c>
      <c r="E8" s="196"/>
      <c r="F8" s="196"/>
      <c r="G8" s="196"/>
      <c r="H8" s="196"/>
      <c r="I8" s="196"/>
    </row>
    <row r="9" spans="1:9" ht="3.95" customHeight="1" x14ac:dyDescent="0.2">
      <c r="A9" s="94"/>
      <c r="B9" s="94"/>
      <c r="C9" s="94"/>
    </row>
    <row r="10" spans="1:9" ht="41.25" customHeight="1" x14ac:dyDescent="0.2">
      <c r="A10" s="189" t="s">
        <v>105</v>
      </c>
      <c r="B10" s="189"/>
      <c r="C10" s="189"/>
      <c r="D10" s="189"/>
      <c r="E10" s="189"/>
      <c r="F10" s="189"/>
      <c r="G10" s="189"/>
      <c r="H10" s="189"/>
      <c r="I10" s="189"/>
    </row>
    <row r="11" spans="1:9" ht="3.95" customHeight="1" x14ac:dyDescent="0.2"/>
    <row r="12" spans="1:9" ht="30" customHeight="1" x14ac:dyDescent="0.2">
      <c r="A12" s="189" t="s">
        <v>106</v>
      </c>
      <c r="B12" s="189"/>
      <c r="C12" s="189"/>
      <c r="D12" s="189"/>
      <c r="E12" s="189"/>
      <c r="F12" s="189"/>
      <c r="G12" s="189"/>
      <c r="H12" s="189"/>
      <c r="I12" s="189"/>
    </row>
    <row r="13" spans="1:9" ht="3.75" customHeight="1" x14ac:dyDescent="0.2">
      <c r="A13" s="94"/>
      <c r="B13" s="94"/>
      <c r="C13" s="94"/>
      <c r="D13" s="63"/>
      <c r="E13" s="63"/>
      <c r="F13" s="63"/>
      <c r="G13" s="63"/>
      <c r="H13" s="94"/>
      <c r="I13" s="94"/>
    </row>
    <row r="14" spans="1:9" ht="12.75" customHeight="1" x14ac:dyDescent="0.2">
      <c r="A14" s="198" t="s">
        <v>218</v>
      </c>
      <c r="B14" s="198"/>
      <c r="C14" s="198"/>
      <c r="D14" s="198"/>
      <c r="E14" s="198"/>
      <c r="F14" s="198"/>
      <c r="G14" s="198"/>
      <c r="H14" s="198"/>
      <c r="I14" s="198"/>
    </row>
    <row r="15" spans="1:9" ht="100.5" customHeight="1" x14ac:dyDescent="0.2">
      <c r="A15" s="137" t="s">
        <v>108</v>
      </c>
      <c r="B15" s="222" t="s">
        <v>109</v>
      </c>
      <c r="C15" s="223"/>
      <c r="D15" s="222" t="s">
        <v>110</v>
      </c>
      <c r="E15" s="224"/>
      <c r="F15" s="224"/>
      <c r="G15" s="223"/>
      <c r="H15" s="138" t="s">
        <v>113</v>
      </c>
      <c r="I15" s="137" t="s">
        <v>114</v>
      </c>
    </row>
    <row r="16" spans="1:9" x14ac:dyDescent="0.2">
      <c r="A16" s="128" t="s">
        <v>6</v>
      </c>
      <c r="B16" s="225">
        <v>2</v>
      </c>
      <c r="C16" s="226"/>
      <c r="D16" s="225">
        <v>3</v>
      </c>
      <c r="E16" s="227"/>
      <c r="F16" s="227"/>
      <c r="G16" s="226"/>
      <c r="H16" s="129">
        <v>4</v>
      </c>
      <c r="I16" s="129">
        <v>5</v>
      </c>
    </row>
    <row r="17" spans="1:9" ht="38.25" customHeight="1" x14ac:dyDescent="0.2">
      <c r="A17" s="65" t="s">
        <v>6</v>
      </c>
      <c r="B17" s="228" t="s">
        <v>115</v>
      </c>
      <c r="C17" s="229"/>
      <c r="D17" s="228" t="s">
        <v>886</v>
      </c>
      <c r="E17" s="230"/>
      <c r="F17" s="230"/>
      <c r="G17" s="229"/>
      <c r="H17" s="66"/>
      <c r="I17" s="67"/>
    </row>
    <row r="18" spans="1:9" ht="183.6" customHeight="1" x14ac:dyDescent="0.2">
      <c r="A18" s="85" t="s">
        <v>117</v>
      </c>
      <c r="B18" s="211" t="s">
        <v>219</v>
      </c>
      <c r="C18" s="212"/>
      <c r="D18" s="213" t="s">
        <v>220</v>
      </c>
      <c r="E18" s="214"/>
      <c r="F18" s="214"/>
      <c r="G18" s="215"/>
      <c r="H18" s="87" t="s">
        <v>221</v>
      </c>
      <c r="I18" s="88">
        <f>ROUND(77.61 * 1 * 540 * 4 * 1.4 * 1.2,2)</f>
        <v>281631.17</v>
      </c>
    </row>
    <row r="19" spans="1:9" ht="15.75" customHeight="1" x14ac:dyDescent="0.2">
      <c r="A19" s="71" t="s">
        <v>129</v>
      </c>
      <c r="B19" s="216" t="s">
        <v>130</v>
      </c>
      <c r="C19" s="217"/>
      <c r="D19" s="216"/>
      <c r="E19" s="218"/>
      <c r="F19" s="218"/>
      <c r="G19" s="217"/>
      <c r="H19" s="72"/>
      <c r="I19" s="73"/>
    </row>
    <row r="20" spans="1:9" ht="38.25" customHeight="1" x14ac:dyDescent="0.2">
      <c r="A20" s="74" t="s">
        <v>129</v>
      </c>
      <c r="B20" s="219" t="s">
        <v>131</v>
      </c>
      <c r="C20" s="220"/>
      <c r="D20" s="219" t="s">
        <v>132</v>
      </c>
      <c r="E20" s="221"/>
      <c r="F20" s="221"/>
      <c r="G20" s="220"/>
      <c r="H20" s="75"/>
      <c r="I20" s="76"/>
    </row>
    <row r="21" spans="1:9" ht="51" customHeight="1" x14ac:dyDescent="0.2">
      <c r="A21" s="74" t="s">
        <v>129</v>
      </c>
      <c r="B21" s="219" t="s">
        <v>222</v>
      </c>
      <c r="C21" s="220"/>
      <c r="D21" s="219" t="s">
        <v>223</v>
      </c>
      <c r="E21" s="221"/>
      <c r="F21" s="221"/>
      <c r="G21" s="220"/>
      <c r="H21" s="75"/>
      <c r="I21" s="76"/>
    </row>
    <row r="22" spans="1:9" ht="89.25" customHeight="1" x14ac:dyDescent="0.2">
      <c r="A22" s="74" t="s">
        <v>129</v>
      </c>
      <c r="B22" s="219" t="s">
        <v>135</v>
      </c>
      <c r="C22" s="220"/>
      <c r="D22" s="219" t="s">
        <v>136</v>
      </c>
      <c r="E22" s="221"/>
      <c r="F22" s="221"/>
      <c r="G22" s="220"/>
      <c r="H22" s="75"/>
      <c r="I22" s="76"/>
    </row>
    <row r="23" spans="1:9" ht="15.75" customHeight="1" x14ac:dyDescent="0.2">
      <c r="A23" s="74" t="s">
        <v>129</v>
      </c>
      <c r="B23" s="240" t="s">
        <v>137</v>
      </c>
      <c r="C23" s="241"/>
      <c r="D23" s="240"/>
      <c r="E23" s="242"/>
      <c r="F23" s="242"/>
      <c r="G23" s="241"/>
      <c r="H23" s="77"/>
      <c r="I23" s="78"/>
    </row>
    <row r="24" spans="1:9" ht="12.75" customHeight="1" x14ac:dyDescent="0.2">
      <c r="A24" s="96" t="s">
        <v>129</v>
      </c>
      <c r="B24" s="231" t="s">
        <v>224</v>
      </c>
      <c r="C24" s="232"/>
      <c r="D24" s="233">
        <v>1</v>
      </c>
      <c r="E24" s="234"/>
      <c r="F24" s="234"/>
      <c r="G24" s="235"/>
      <c r="H24" s="97"/>
      <c r="I24" s="80"/>
    </row>
    <row r="25" spans="1:9" ht="183.6" customHeight="1" x14ac:dyDescent="0.2">
      <c r="A25" s="90" t="s">
        <v>121</v>
      </c>
      <c r="B25" s="236" t="s">
        <v>225</v>
      </c>
      <c r="C25" s="237"/>
      <c r="D25" s="238" t="s">
        <v>226</v>
      </c>
      <c r="E25" s="189"/>
      <c r="F25" s="189"/>
      <c r="G25" s="239"/>
      <c r="H25" s="81" t="s">
        <v>227</v>
      </c>
      <c r="I25" s="82">
        <f>ROUND(20.55 * 1 * 540 * 4 * 1.35 * 1.2,2)</f>
        <v>71908.56</v>
      </c>
    </row>
    <row r="26" spans="1:9" ht="15.75" customHeight="1" x14ac:dyDescent="0.2">
      <c r="A26" s="71" t="s">
        <v>129</v>
      </c>
      <c r="B26" s="216" t="s">
        <v>130</v>
      </c>
      <c r="C26" s="217"/>
      <c r="D26" s="216"/>
      <c r="E26" s="218"/>
      <c r="F26" s="218"/>
      <c r="G26" s="217"/>
      <c r="H26" s="72"/>
      <c r="I26" s="73"/>
    </row>
    <row r="27" spans="1:9" ht="38.25" customHeight="1" x14ac:dyDescent="0.2">
      <c r="A27" s="74" t="s">
        <v>129</v>
      </c>
      <c r="B27" s="219" t="s">
        <v>131</v>
      </c>
      <c r="C27" s="220"/>
      <c r="D27" s="219" t="s">
        <v>132</v>
      </c>
      <c r="E27" s="221"/>
      <c r="F27" s="221"/>
      <c r="G27" s="220"/>
      <c r="H27" s="75"/>
      <c r="I27" s="76"/>
    </row>
    <row r="28" spans="1:9" ht="76.5" customHeight="1" x14ac:dyDescent="0.2">
      <c r="A28" s="74" t="s">
        <v>129</v>
      </c>
      <c r="B28" s="219" t="s">
        <v>228</v>
      </c>
      <c r="C28" s="220"/>
      <c r="D28" s="219" t="s">
        <v>229</v>
      </c>
      <c r="E28" s="221"/>
      <c r="F28" s="221"/>
      <c r="G28" s="220"/>
      <c r="H28" s="75"/>
      <c r="I28" s="76"/>
    </row>
    <row r="29" spans="1:9" ht="89.25" customHeight="1" x14ac:dyDescent="0.2">
      <c r="A29" s="74" t="s">
        <v>129</v>
      </c>
      <c r="B29" s="219" t="s">
        <v>135</v>
      </c>
      <c r="C29" s="220"/>
      <c r="D29" s="219" t="s">
        <v>136</v>
      </c>
      <c r="E29" s="221"/>
      <c r="F29" s="221"/>
      <c r="G29" s="220"/>
      <c r="H29" s="75"/>
      <c r="I29" s="76"/>
    </row>
    <row r="30" spans="1:9" ht="15.75" customHeight="1" x14ac:dyDescent="0.2">
      <c r="A30" s="74" t="s">
        <v>129</v>
      </c>
      <c r="B30" s="240" t="s">
        <v>137</v>
      </c>
      <c r="C30" s="241"/>
      <c r="D30" s="240"/>
      <c r="E30" s="242"/>
      <c r="F30" s="242"/>
      <c r="G30" s="241"/>
      <c r="H30" s="77"/>
      <c r="I30" s="78"/>
    </row>
    <row r="31" spans="1:9" ht="12.75" customHeight="1" x14ac:dyDescent="0.2">
      <c r="A31" s="96" t="s">
        <v>129</v>
      </c>
      <c r="B31" s="231" t="s">
        <v>224</v>
      </c>
      <c r="C31" s="232"/>
      <c r="D31" s="233">
        <v>1</v>
      </c>
      <c r="E31" s="234"/>
      <c r="F31" s="234"/>
      <c r="G31" s="235"/>
      <c r="H31" s="97"/>
      <c r="I31" s="80"/>
    </row>
    <row r="32" spans="1:9" ht="51" customHeight="1" x14ac:dyDescent="0.2">
      <c r="A32" s="96" t="s">
        <v>123</v>
      </c>
      <c r="B32" s="243" t="s">
        <v>887</v>
      </c>
      <c r="C32" s="244"/>
      <c r="D32" s="243"/>
      <c r="E32" s="245"/>
      <c r="F32" s="245"/>
      <c r="G32" s="244"/>
      <c r="H32" s="83"/>
      <c r="I32" s="84">
        <f>ROUND((SUM($I$18:$I$25)),2)</f>
        <v>353539.73</v>
      </c>
    </row>
    <row r="33" spans="1:9" ht="25.5" customHeight="1" x14ac:dyDescent="0.2">
      <c r="A33" s="65" t="s">
        <v>230</v>
      </c>
      <c r="B33" s="246" t="s">
        <v>888</v>
      </c>
      <c r="C33" s="247"/>
      <c r="D33" s="246"/>
      <c r="E33" s="248"/>
      <c r="F33" s="248"/>
      <c r="G33" s="247"/>
      <c r="H33" s="68" t="s">
        <v>889</v>
      </c>
      <c r="I33" s="69">
        <f>ROUND(($I$32) * 0.5 * 1,2)</f>
        <v>176769.87</v>
      </c>
    </row>
    <row r="34" spans="1:9" ht="51" customHeight="1" x14ac:dyDescent="0.2">
      <c r="A34" s="65" t="s">
        <v>365</v>
      </c>
      <c r="B34" s="228" t="s">
        <v>890</v>
      </c>
      <c r="C34" s="229"/>
      <c r="D34" s="228"/>
      <c r="E34" s="230"/>
      <c r="F34" s="230"/>
      <c r="G34" s="229"/>
      <c r="H34" s="66"/>
      <c r="I34" s="70">
        <f>ROUND(($I$33),2)</f>
        <v>176769.87</v>
      </c>
    </row>
    <row r="35" spans="1:9" ht="25.5" customHeight="1" x14ac:dyDescent="0.2">
      <c r="A35" s="65" t="s">
        <v>7</v>
      </c>
      <c r="B35" s="228" t="s">
        <v>115</v>
      </c>
      <c r="C35" s="229"/>
      <c r="D35" s="228" t="s">
        <v>231</v>
      </c>
      <c r="E35" s="230"/>
      <c r="F35" s="230"/>
      <c r="G35" s="229"/>
      <c r="H35" s="66"/>
      <c r="I35" s="67"/>
    </row>
    <row r="36" spans="1:9" ht="209.1" customHeight="1" x14ac:dyDescent="0.2">
      <c r="A36" s="85" t="s">
        <v>125</v>
      </c>
      <c r="B36" s="211" t="s">
        <v>232</v>
      </c>
      <c r="C36" s="212"/>
      <c r="D36" s="213" t="s">
        <v>891</v>
      </c>
      <c r="E36" s="214"/>
      <c r="F36" s="214"/>
      <c r="G36" s="215"/>
      <c r="H36" s="87" t="s">
        <v>892</v>
      </c>
      <c r="I36" s="88">
        <f>ROUND((20.91 + ((29.72 - 20.91) / (7 - 5)) * (5.128 - 5)) * 1 * 540 * 4 * 1.2,2)</f>
        <v>55660.19</v>
      </c>
    </row>
    <row r="37" spans="1:9" ht="15.75" customHeight="1" x14ac:dyDescent="0.2">
      <c r="A37" s="71" t="s">
        <v>129</v>
      </c>
      <c r="B37" s="216" t="s">
        <v>130</v>
      </c>
      <c r="C37" s="217"/>
      <c r="D37" s="216"/>
      <c r="E37" s="218"/>
      <c r="F37" s="218"/>
      <c r="G37" s="217"/>
      <c r="H37" s="72"/>
      <c r="I37" s="73"/>
    </row>
    <row r="38" spans="1:9" ht="38.25" customHeight="1" x14ac:dyDescent="0.2">
      <c r="A38" s="74" t="s">
        <v>129</v>
      </c>
      <c r="B38" s="219" t="s">
        <v>131</v>
      </c>
      <c r="C38" s="220"/>
      <c r="D38" s="219" t="s">
        <v>132</v>
      </c>
      <c r="E38" s="221"/>
      <c r="F38" s="221"/>
      <c r="G38" s="220"/>
      <c r="H38" s="75"/>
      <c r="I38" s="76"/>
    </row>
    <row r="39" spans="1:9" ht="89.25" customHeight="1" x14ac:dyDescent="0.2">
      <c r="A39" s="74" t="s">
        <v>129</v>
      </c>
      <c r="B39" s="219" t="s">
        <v>135</v>
      </c>
      <c r="C39" s="220"/>
      <c r="D39" s="219" t="s">
        <v>144</v>
      </c>
      <c r="E39" s="221"/>
      <c r="F39" s="221"/>
      <c r="G39" s="220"/>
      <c r="H39" s="75"/>
      <c r="I39" s="76"/>
    </row>
    <row r="40" spans="1:9" ht="15.75" customHeight="1" x14ac:dyDescent="0.2">
      <c r="A40" s="74" t="s">
        <v>129</v>
      </c>
      <c r="B40" s="240" t="s">
        <v>137</v>
      </c>
      <c r="C40" s="241"/>
      <c r="D40" s="240"/>
      <c r="E40" s="242"/>
      <c r="F40" s="242"/>
      <c r="G40" s="241"/>
      <c r="H40" s="77"/>
      <c r="I40" s="78"/>
    </row>
    <row r="41" spans="1:9" ht="12.75" customHeight="1" x14ac:dyDescent="0.2">
      <c r="A41" s="74" t="s">
        <v>129</v>
      </c>
      <c r="B41" s="219" t="s">
        <v>233</v>
      </c>
      <c r="C41" s="220"/>
      <c r="D41" s="249">
        <v>0.53</v>
      </c>
      <c r="E41" s="250"/>
      <c r="F41" s="250"/>
      <c r="G41" s="251"/>
      <c r="H41" s="75"/>
      <c r="I41" s="76"/>
    </row>
    <row r="42" spans="1:9" ht="12.75" customHeight="1" x14ac:dyDescent="0.2">
      <c r="A42" s="96" t="s">
        <v>129</v>
      </c>
      <c r="B42" s="231" t="s">
        <v>234</v>
      </c>
      <c r="C42" s="232"/>
      <c r="D42" s="233">
        <v>0.47</v>
      </c>
      <c r="E42" s="234"/>
      <c r="F42" s="234"/>
      <c r="G42" s="235"/>
      <c r="H42" s="97"/>
      <c r="I42" s="80"/>
    </row>
    <row r="43" spans="1:9" ht="209.1" customHeight="1" x14ac:dyDescent="0.2">
      <c r="A43" s="90" t="s">
        <v>139</v>
      </c>
      <c r="B43" s="236" t="s">
        <v>235</v>
      </c>
      <c r="C43" s="237"/>
      <c r="D43" s="238" t="s">
        <v>893</v>
      </c>
      <c r="E43" s="189"/>
      <c r="F43" s="189"/>
      <c r="G43" s="239"/>
      <c r="H43" s="81" t="s">
        <v>894</v>
      </c>
      <c r="I43" s="82">
        <f>ROUND((20.5 + ((23.03 - 20.5) / (7 - 5)) * (5.128 - 5)) * 1 * 540 * 4 * 1.2,2)</f>
        <v>53555.7</v>
      </c>
    </row>
    <row r="44" spans="1:9" ht="15.75" customHeight="1" x14ac:dyDescent="0.2">
      <c r="A44" s="71" t="s">
        <v>129</v>
      </c>
      <c r="B44" s="216" t="s">
        <v>130</v>
      </c>
      <c r="C44" s="217"/>
      <c r="D44" s="216"/>
      <c r="E44" s="218"/>
      <c r="F44" s="218"/>
      <c r="G44" s="217"/>
      <c r="H44" s="72"/>
      <c r="I44" s="73"/>
    </row>
    <row r="45" spans="1:9" ht="38.25" customHeight="1" x14ac:dyDescent="0.2">
      <c r="A45" s="74" t="s">
        <v>129</v>
      </c>
      <c r="B45" s="219" t="s">
        <v>131</v>
      </c>
      <c r="C45" s="220"/>
      <c r="D45" s="219" t="s">
        <v>132</v>
      </c>
      <c r="E45" s="221"/>
      <c r="F45" s="221"/>
      <c r="G45" s="220"/>
      <c r="H45" s="75"/>
      <c r="I45" s="76"/>
    </row>
    <row r="46" spans="1:9" ht="89.25" customHeight="1" x14ac:dyDescent="0.2">
      <c r="A46" s="74" t="s">
        <v>129</v>
      </c>
      <c r="B46" s="219" t="s">
        <v>135</v>
      </c>
      <c r="C46" s="220"/>
      <c r="D46" s="219" t="s">
        <v>144</v>
      </c>
      <c r="E46" s="221"/>
      <c r="F46" s="221"/>
      <c r="G46" s="220"/>
      <c r="H46" s="75"/>
      <c r="I46" s="76"/>
    </row>
    <row r="47" spans="1:9" ht="15.75" customHeight="1" x14ac:dyDescent="0.2">
      <c r="A47" s="74" t="s">
        <v>129</v>
      </c>
      <c r="B47" s="240" t="s">
        <v>137</v>
      </c>
      <c r="C47" s="241"/>
      <c r="D47" s="240"/>
      <c r="E47" s="242"/>
      <c r="F47" s="242"/>
      <c r="G47" s="241"/>
      <c r="H47" s="77"/>
      <c r="I47" s="78"/>
    </row>
    <row r="48" spans="1:9" ht="12.75" customHeight="1" x14ac:dyDescent="0.2">
      <c r="A48" s="74" t="s">
        <v>129</v>
      </c>
      <c r="B48" s="219" t="s">
        <v>233</v>
      </c>
      <c r="C48" s="220"/>
      <c r="D48" s="249">
        <v>0.53</v>
      </c>
      <c r="E48" s="250"/>
      <c r="F48" s="250"/>
      <c r="G48" s="251"/>
      <c r="H48" s="75"/>
      <c r="I48" s="76"/>
    </row>
    <row r="49" spans="1:9" ht="12.75" customHeight="1" x14ac:dyDescent="0.2">
      <c r="A49" s="96" t="s">
        <v>129</v>
      </c>
      <c r="B49" s="231" t="s">
        <v>234</v>
      </c>
      <c r="C49" s="232"/>
      <c r="D49" s="233">
        <v>0.47</v>
      </c>
      <c r="E49" s="234"/>
      <c r="F49" s="234"/>
      <c r="G49" s="235"/>
      <c r="H49" s="97"/>
      <c r="I49" s="80"/>
    </row>
    <row r="50" spans="1:9" ht="196.35" customHeight="1" x14ac:dyDescent="0.2">
      <c r="A50" s="206" t="s">
        <v>145</v>
      </c>
      <c r="B50" s="236" t="s">
        <v>236</v>
      </c>
      <c r="C50" s="237"/>
      <c r="D50" s="238" t="s">
        <v>895</v>
      </c>
      <c r="E50" s="189"/>
      <c r="F50" s="189"/>
      <c r="G50" s="239"/>
      <c r="H50" s="202" t="s">
        <v>896</v>
      </c>
      <c r="I50" s="205">
        <f>ROUND((8.87 + ((9.96 - 8.87) / (7 - 5)) * (5.128 - 5)) * 1 * 540 * 4 * 1.2,2)</f>
        <v>23171.86</v>
      </c>
    </row>
    <row r="51" spans="1:9" ht="12.75" customHeight="1" x14ac:dyDescent="0.2">
      <c r="A51" s="206"/>
      <c r="B51" s="236"/>
      <c r="C51" s="237"/>
      <c r="D51" s="238"/>
      <c r="E51" s="189"/>
      <c r="F51" s="189"/>
      <c r="G51" s="239"/>
      <c r="H51" s="202"/>
      <c r="I51" s="205"/>
    </row>
    <row r="52" spans="1:9" ht="15.75" customHeight="1" x14ac:dyDescent="0.2">
      <c r="A52" s="71" t="s">
        <v>129</v>
      </c>
      <c r="B52" s="216" t="s">
        <v>130</v>
      </c>
      <c r="C52" s="217"/>
      <c r="D52" s="216"/>
      <c r="E52" s="218"/>
      <c r="F52" s="218"/>
      <c r="G52" s="217"/>
      <c r="H52" s="72"/>
      <c r="I52" s="73"/>
    </row>
    <row r="53" spans="1:9" ht="38.25" customHeight="1" x14ac:dyDescent="0.2">
      <c r="A53" s="74" t="s">
        <v>129</v>
      </c>
      <c r="B53" s="219" t="s">
        <v>131</v>
      </c>
      <c r="C53" s="220"/>
      <c r="D53" s="219" t="s">
        <v>132</v>
      </c>
      <c r="E53" s="221"/>
      <c r="F53" s="221"/>
      <c r="G53" s="220"/>
      <c r="H53" s="75"/>
      <c r="I53" s="76"/>
    </row>
    <row r="54" spans="1:9" ht="89.25" customHeight="1" x14ac:dyDescent="0.2">
      <c r="A54" s="74" t="s">
        <v>129</v>
      </c>
      <c r="B54" s="219" t="s">
        <v>135</v>
      </c>
      <c r="C54" s="220"/>
      <c r="D54" s="219" t="s">
        <v>144</v>
      </c>
      <c r="E54" s="221"/>
      <c r="F54" s="221"/>
      <c r="G54" s="220"/>
      <c r="H54" s="75"/>
      <c r="I54" s="76"/>
    </row>
    <row r="55" spans="1:9" ht="15.75" customHeight="1" x14ac:dyDescent="0.2">
      <c r="A55" s="74" t="s">
        <v>129</v>
      </c>
      <c r="B55" s="240" t="s">
        <v>137</v>
      </c>
      <c r="C55" s="241"/>
      <c r="D55" s="240"/>
      <c r="E55" s="242"/>
      <c r="F55" s="242"/>
      <c r="G55" s="241"/>
      <c r="H55" s="77"/>
      <c r="I55" s="78"/>
    </row>
    <row r="56" spans="1:9" ht="12.75" customHeight="1" x14ac:dyDescent="0.2">
      <c r="A56" s="74" t="s">
        <v>129</v>
      </c>
      <c r="B56" s="219" t="s">
        <v>233</v>
      </c>
      <c r="C56" s="220"/>
      <c r="D56" s="249">
        <v>0.53</v>
      </c>
      <c r="E56" s="250"/>
      <c r="F56" s="250"/>
      <c r="G56" s="251"/>
      <c r="H56" s="75"/>
      <c r="I56" s="76"/>
    </row>
    <row r="57" spans="1:9" ht="12.75" customHeight="1" x14ac:dyDescent="0.2">
      <c r="A57" s="96" t="s">
        <v>129</v>
      </c>
      <c r="B57" s="231" t="s">
        <v>234</v>
      </c>
      <c r="C57" s="232"/>
      <c r="D57" s="233">
        <v>0.47</v>
      </c>
      <c r="E57" s="234"/>
      <c r="F57" s="234"/>
      <c r="G57" s="235"/>
      <c r="H57" s="97"/>
      <c r="I57" s="80"/>
    </row>
    <row r="58" spans="1:9" ht="170.85" customHeight="1" x14ac:dyDescent="0.2">
      <c r="A58" s="90" t="s">
        <v>147</v>
      </c>
      <c r="B58" s="236" t="s">
        <v>237</v>
      </c>
      <c r="C58" s="237"/>
      <c r="D58" s="238" t="s">
        <v>238</v>
      </c>
      <c r="E58" s="189"/>
      <c r="F58" s="189"/>
      <c r="G58" s="239"/>
      <c r="H58" s="81" t="s">
        <v>239</v>
      </c>
      <c r="I58" s="82">
        <f>ROUND(0.47 * 16 * 540 * 4 * 1.2,2)</f>
        <v>19491.84</v>
      </c>
    </row>
    <row r="59" spans="1:9" ht="15.75" customHeight="1" x14ac:dyDescent="0.2">
      <c r="A59" s="71" t="s">
        <v>129</v>
      </c>
      <c r="B59" s="216" t="s">
        <v>130</v>
      </c>
      <c r="C59" s="217"/>
      <c r="D59" s="216"/>
      <c r="E59" s="218"/>
      <c r="F59" s="218"/>
      <c r="G59" s="217"/>
      <c r="H59" s="72"/>
      <c r="I59" s="73"/>
    </row>
    <row r="60" spans="1:9" ht="38.25" customHeight="1" x14ac:dyDescent="0.2">
      <c r="A60" s="74" t="s">
        <v>129</v>
      </c>
      <c r="B60" s="219" t="s">
        <v>131</v>
      </c>
      <c r="C60" s="220"/>
      <c r="D60" s="219" t="s">
        <v>132</v>
      </c>
      <c r="E60" s="221"/>
      <c r="F60" s="221"/>
      <c r="G60" s="220"/>
      <c r="H60" s="75"/>
      <c r="I60" s="76"/>
    </row>
    <row r="61" spans="1:9" ht="89.25" customHeight="1" x14ac:dyDescent="0.2">
      <c r="A61" s="74" t="s">
        <v>129</v>
      </c>
      <c r="B61" s="219" t="s">
        <v>135</v>
      </c>
      <c r="C61" s="220"/>
      <c r="D61" s="219" t="s">
        <v>144</v>
      </c>
      <c r="E61" s="221"/>
      <c r="F61" s="221"/>
      <c r="G61" s="220"/>
      <c r="H61" s="75"/>
      <c r="I61" s="76"/>
    </row>
    <row r="62" spans="1:9" ht="15.75" customHeight="1" x14ac:dyDescent="0.2">
      <c r="A62" s="74" t="s">
        <v>129</v>
      </c>
      <c r="B62" s="240" t="s">
        <v>137</v>
      </c>
      <c r="C62" s="241"/>
      <c r="D62" s="240"/>
      <c r="E62" s="242"/>
      <c r="F62" s="242"/>
      <c r="G62" s="241"/>
      <c r="H62" s="77"/>
      <c r="I62" s="78"/>
    </row>
    <row r="63" spans="1:9" ht="12.75" customHeight="1" x14ac:dyDescent="0.2">
      <c r="A63" s="74" t="s">
        <v>129</v>
      </c>
      <c r="B63" s="219" t="s">
        <v>233</v>
      </c>
      <c r="C63" s="220"/>
      <c r="D63" s="249">
        <v>0.53</v>
      </c>
      <c r="E63" s="250"/>
      <c r="F63" s="250"/>
      <c r="G63" s="251"/>
      <c r="H63" s="75"/>
      <c r="I63" s="76"/>
    </row>
    <row r="64" spans="1:9" ht="12.75" customHeight="1" x14ac:dyDescent="0.2">
      <c r="A64" s="96" t="s">
        <v>129</v>
      </c>
      <c r="B64" s="231" t="s">
        <v>234</v>
      </c>
      <c r="C64" s="232"/>
      <c r="D64" s="233">
        <v>0.47</v>
      </c>
      <c r="E64" s="234"/>
      <c r="F64" s="234"/>
      <c r="G64" s="235"/>
      <c r="H64" s="97"/>
      <c r="I64" s="80"/>
    </row>
    <row r="65" spans="1:9" ht="183.6" customHeight="1" x14ac:dyDescent="0.2">
      <c r="A65" s="90" t="s">
        <v>240</v>
      </c>
      <c r="B65" s="236" t="s">
        <v>241</v>
      </c>
      <c r="C65" s="237"/>
      <c r="D65" s="238" t="s">
        <v>242</v>
      </c>
      <c r="E65" s="189"/>
      <c r="F65" s="189"/>
      <c r="G65" s="239"/>
      <c r="H65" s="81" t="s">
        <v>243</v>
      </c>
      <c r="I65" s="82">
        <f>ROUND(1.25 * 16 * 540 * 4 * 1.2,2)</f>
        <v>51840</v>
      </c>
    </row>
    <row r="66" spans="1:9" ht="15.75" customHeight="1" x14ac:dyDescent="0.2">
      <c r="A66" s="71" t="s">
        <v>129</v>
      </c>
      <c r="B66" s="216" t="s">
        <v>130</v>
      </c>
      <c r="C66" s="217"/>
      <c r="D66" s="216"/>
      <c r="E66" s="218"/>
      <c r="F66" s="218"/>
      <c r="G66" s="217"/>
      <c r="H66" s="72"/>
      <c r="I66" s="73"/>
    </row>
    <row r="67" spans="1:9" ht="38.25" customHeight="1" x14ac:dyDescent="0.2">
      <c r="A67" s="74" t="s">
        <v>129</v>
      </c>
      <c r="B67" s="219" t="s">
        <v>131</v>
      </c>
      <c r="C67" s="220"/>
      <c r="D67" s="219" t="s">
        <v>132</v>
      </c>
      <c r="E67" s="221"/>
      <c r="F67" s="221"/>
      <c r="G67" s="220"/>
      <c r="H67" s="75"/>
      <c r="I67" s="76"/>
    </row>
    <row r="68" spans="1:9" ht="89.25" customHeight="1" x14ac:dyDescent="0.2">
      <c r="A68" s="74" t="s">
        <v>129</v>
      </c>
      <c r="B68" s="219" t="s">
        <v>135</v>
      </c>
      <c r="C68" s="220"/>
      <c r="D68" s="219" t="s">
        <v>144</v>
      </c>
      <c r="E68" s="221"/>
      <c r="F68" s="221"/>
      <c r="G68" s="220"/>
      <c r="H68" s="75"/>
      <c r="I68" s="76"/>
    </row>
    <row r="69" spans="1:9" ht="15.75" customHeight="1" x14ac:dyDescent="0.2">
      <c r="A69" s="74" t="s">
        <v>129</v>
      </c>
      <c r="B69" s="240" t="s">
        <v>137</v>
      </c>
      <c r="C69" s="241"/>
      <c r="D69" s="240"/>
      <c r="E69" s="242"/>
      <c r="F69" s="242"/>
      <c r="G69" s="241"/>
      <c r="H69" s="77"/>
      <c r="I69" s="78"/>
    </row>
    <row r="70" spans="1:9" ht="12.75" customHeight="1" x14ac:dyDescent="0.2">
      <c r="A70" s="74" t="s">
        <v>129</v>
      </c>
      <c r="B70" s="219" t="s">
        <v>233</v>
      </c>
      <c r="C70" s="220"/>
      <c r="D70" s="249">
        <v>0.53</v>
      </c>
      <c r="E70" s="250"/>
      <c r="F70" s="250"/>
      <c r="G70" s="251"/>
      <c r="H70" s="75"/>
      <c r="I70" s="76"/>
    </row>
    <row r="71" spans="1:9" ht="12.75" customHeight="1" x14ac:dyDescent="0.2">
      <c r="A71" s="96" t="s">
        <v>129</v>
      </c>
      <c r="B71" s="231" t="s">
        <v>234</v>
      </c>
      <c r="C71" s="232"/>
      <c r="D71" s="233">
        <v>0.47</v>
      </c>
      <c r="E71" s="234"/>
      <c r="F71" s="234"/>
      <c r="G71" s="235"/>
      <c r="H71" s="97"/>
      <c r="I71" s="80"/>
    </row>
    <row r="72" spans="1:9" ht="272.85000000000002" customHeight="1" x14ac:dyDescent="0.2">
      <c r="A72" s="90" t="s">
        <v>244</v>
      </c>
      <c r="B72" s="236" t="s">
        <v>245</v>
      </c>
      <c r="C72" s="237"/>
      <c r="D72" s="238" t="s">
        <v>246</v>
      </c>
      <c r="E72" s="189"/>
      <c r="F72" s="189"/>
      <c r="G72" s="239"/>
      <c r="H72" s="81" t="s">
        <v>247</v>
      </c>
      <c r="I72" s="82">
        <f>ROUND(6 * 32 * 540 * 4,2)</f>
        <v>414720</v>
      </c>
    </row>
    <row r="73" spans="1:9" ht="15.75" customHeight="1" x14ac:dyDescent="0.2">
      <c r="A73" s="71" t="s">
        <v>129</v>
      </c>
      <c r="B73" s="216" t="s">
        <v>130</v>
      </c>
      <c r="C73" s="217"/>
      <c r="D73" s="216"/>
      <c r="E73" s="218"/>
      <c r="F73" s="218"/>
      <c r="G73" s="217"/>
      <c r="H73" s="72"/>
      <c r="I73" s="73"/>
    </row>
    <row r="74" spans="1:9" ht="38.25" customHeight="1" x14ac:dyDescent="0.2">
      <c r="A74" s="74" t="s">
        <v>129</v>
      </c>
      <c r="B74" s="219" t="s">
        <v>131</v>
      </c>
      <c r="C74" s="220"/>
      <c r="D74" s="219" t="s">
        <v>132</v>
      </c>
      <c r="E74" s="221"/>
      <c r="F74" s="221"/>
      <c r="G74" s="220"/>
      <c r="H74" s="75"/>
      <c r="I74" s="76"/>
    </row>
    <row r="75" spans="1:9" ht="15.75" customHeight="1" x14ac:dyDescent="0.2">
      <c r="A75" s="74" t="s">
        <v>129</v>
      </c>
      <c r="B75" s="240" t="s">
        <v>137</v>
      </c>
      <c r="C75" s="241"/>
      <c r="D75" s="240"/>
      <c r="E75" s="242"/>
      <c r="F75" s="242"/>
      <c r="G75" s="241"/>
      <c r="H75" s="77"/>
      <c r="I75" s="78"/>
    </row>
    <row r="76" spans="1:9" ht="12.75" customHeight="1" x14ac:dyDescent="0.2">
      <c r="A76" s="96" t="s">
        <v>129</v>
      </c>
      <c r="B76" s="231" t="s">
        <v>224</v>
      </c>
      <c r="C76" s="232"/>
      <c r="D76" s="233">
        <v>1</v>
      </c>
      <c r="E76" s="234"/>
      <c r="F76" s="234"/>
      <c r="G76" s="235"/>
      <c r="H76" s="97"/>
      <c r="I76" s="80"/>
    </row>
    <row r="77" spans="1:9" ht="170.85" customHeight="1" x14ac:dyDescent="0.2">
      <c r="A77" s="90" t="s">
        <v>248</v>
      </c>
      <c r="B77" s="236" t="s">
        <v>249</v>
      </c>
      <c r="C77" s="237"/>
      <c r="D77" s="238" t="s">
        <v>250</v>
      </c>
      <c r="E77" s="189"/>
      <c r="F77" s="189"/>
      <c r="G77" s="239"/>
      <c r="H77" s="81" t="s">
        <v>251</v>
      </c>
      <c r="I77" s="82">
        <f>ROUND(1.08 * 5 * 540 * 4 * 1.2,2)</f>
        <v>13996.8</v>
      </c>
    </row>
    <row r="78" spans="1:9" ht="15.75" customHeight="1" x14ac:dyDescent="0.2">
      <c r="A78" s="71" t="s">
        <v>129</v>
      </c>
      <c r="B78" s="216" t="s">
        <v>130</v>
      </c>
      <c r="C78" s="217"/>
      <c r="D78" s="216"/>
      <c r="E78" s="218"/>
      <c r="F78" s="218"/>
      <c r="G78" s="217"/>
      <c r="H78" s="72"/>
      <c r="I78" s="73"/>
    </row>
    <row r="79" spans="1:9" ht="38.25" customHeight="1" x14ac:dyDescent="0.2">
      <c r="A79" s="74" t="s">
        <v>129</v>
      </c>
      <c r="B79" s="219" t="s">
        <v>131</v>
      </c>
      <c r="C79" s="220"/>
      <c r="D79" s="219" t="s">
        <v>132</v>
      </c>
      <c r="E79" s="221"/>
      <c r="F79" s="221"/>
      <c r="G79" s="220"/>
      <c r="H79" s="75"/>
      <c r="I79" s="76"/>
    </row>
    <row r="80" spans="1:9" ht="89.25" customHeight="1" x14ac:dyDescent="0.2">
      <c r="A80" s="74" t="s">
        <v>129</v>
      </c>
      <c r="B80" s="219" t="s">
        <v>135</v>
      </c>
      <c r="C80" s="220"/>
      <c r="D80" s="219" t="s">
        <v>144</v>
      </c>
      <c r="E80" s="221"/>
      <c r="F80" s="221"/>
      <c r="G80" s="220"/>
      <c r="H80" s="75"/>
      <c r="I80" s="76"/>
    </row>
    <row r="81" spans="1:9" ht="15.75" customHeight="1" x14ac:dyDescent="0.2">
      <c r="A81" s="74" t="s">
        <v>129</v>
      </c>
      <c r="B81" s="240" t="s">
        <v>137</v>
      </c>
      <c r="C81" s="241"/>
      <c r="D81" s="240"/>
      <c r="E81" s="242"/>
      <c r="F81" s="242"/>
      <c r="G81" s="241"/>
      <c r="H81" s="77"/>
      <c r="I81" s="78"/>
    </row>
    <row r="82" spans="1:9" ht="12.75" customHeight="1" x14ac:dyDescent="0.2">
      <c r="A82" s="96" t="s">
        <v>129</v>
      </c>
      <c r="B82" s="231" t="s">
        <v>224</v>
      </c>
      <c r="C82" s="232"/>
      <c r="D82" s="233">
        <v>1</v>
      </c>
      <c r="E82" s="234"/>
      <c r="F82" s="234"/>
      <c r="G82" s="235"/>
      <c r="H82" s="97"/>
      <c r="I82" s="80"/>
    </row>
    <row r="83" spans="1:9" ht="158.1" customHeight="1" x14ac:dyDescent="0.2">
      <c r="A83" s="90" t="s">
        <v>252</v>
      </c>
      <c r="B83" s="236" t="s">
        <v>253</v>
      </c>
      <c r="C83" s="237"/>
      <c r="D83" s="238" t="s">
        <v>254</v>
      </c>
      <c r="E83" s="189"/>
      <c r="F83" s="189"/>
      <c r="G83" s="239"/>
      <c r="H83" s="81" t="s">
        <v>255</v>
      </c>
      <c r="I83" s="82">
        <f>ROUND(1.27 * 10 * 540 * 4 * 1.2 * 1.5,2)</f>
        <v>49377.599999999999</v>
      </c>
    </row>
    <row r="84" spans="1:9" ht="15.75" customHeight="1" x14ac:dyDescent="0.2">
      <c r="A84" s="71" t="s">
        <v>129</v>
      </c>
      <c r="B84" s="216" t="s">
        <v>130</v>
      </c>
      <c r="C84" s="217"/>
      <c r="D84" s="216"/>
      <c r="E84" s="218"/>
      <c r="F84" s="218"/>
      <c r="G84" s="217"/>
      <c r="H84" s="72"/>
      <c r="I84" s="73"/>
    </row>
    <row r="85" spans="1:9" ht="38.25" customHeight="1" x14ac:dyDescent="0.2">
      <c r="A85" s="74" t="s">
        <v>129</v>
      </c>
      <c r="B85" s="219" t="s">
        <v>131</v>
      </c>
      <c r="C85" s="220"/>
      <c r="D85" s="219" t="s">
        <v>132</v>
      </c>
      <c r="E85" s="221"/>
      <c r="F85" s="221"/>
      <c r="G85" s="220"/>
      <c r="H85" s="75"/>
      <c r="I85" s="76"/>
    </row>
    <row r="86" spans="1:9" ht="89.25" customHeight="1" x14ac:dyDescent="0.2">
      <c r="A86" s="74" t="s">
        <v>129</v>
      </c>
      <c r="B86" s="219" t="s">
        <v>135</v>
      </c>
      <c r="C86" s="220"/>
      <c r="D86" s="219" t="s">
        <v>144</v>
      </c>
      <c r="E86" s="221"/>
      <c r="F86" s="221"/>
      <c r="G86" s="220"/>
      <c r="H86" s="75"/>
      <c r="I86" s="76"/>
    </row>
    <row r="87" spans="1:9" ht="63.75" customHeight="1" x14ac:dyDescent="0.2">
      <c r="A87" s="74" t="s">
        <v>129</v>
      </c>
      <c r="B87" s="219" t="s">
        <v>164</v>
      </c>
      <c r="C87" s="220"/>
      <c r="D87" s="219" t="s">
        <v>256</v>
      </c>
      <c r="E87" s="221"/>
      <c r="F87" s="221"/>
      <c r="G87" s="220"/>
      <c r="H87" s="75"/>
      <c r="I87" s="76"/>
    </row>
    <row r="88" spans="1:9" ht="15.75" customHeight="1" x14ac:dyDescent="0.2">
      <c r="A88" s="74" t="s">
        <v>129</v>
      </c>
      <c r="B88" s="240" t="s">
        <v>137</v>
      </c>
      <c r="C88" s="241"/>
      <c r="D88" s="240"/>
      <c r="E88" s="242"/>
      <c r="F88" s="242"/>
      <c r="G88" s="241"/>
      <c r="H88" s="77"/>
      <c r="I88" s="78"/>
    </row>
    <row r="89" spans="1:9" ht="12.75" customHeight="1" x14ac:dyDescent="0.2">
      <c r="A89" s="96" t="s">
        <v>129</v>
      </c>
      <c r="B89" s="231" t="s">
        <v>224</v>
      </c>
      <c r="C89" s="232"/>
      <c r="D89" s="233">
        <v>1</v>
      </c>
      <c r="E89" s="234"/>
      <c r="F89" s="234"/>
      <c r="G89" s="235"/>
      <c r="H89" s="97"/>
      <c r="I89" s="80"/>
    </row>
    <row r="90" spans="1:9" ht="272.85000000000002" customHeight="1" x14ac:dyDescent="0.2">
      <c r="A90" s="90" t="s">
        <v>257</v>
      </c>
      <c r="B90" s="236" t="s">
        <v>258</v>
      </c>
      <c r="C90" s="237"/>
      <c r="D90" s="238" t="s">
        <v>259</v>
      </c>
      <c r="E90" s="189"/>
      <c r="F90" s="189"/>
      <c r="G90" s="239"/>
      <c r="H90" s="81" t="s">
        <v>260</v>
      </c>
      <c r="I90" s="82">
        <f>ROUND(6 * 10 * 540 * 4,2)</f>
        <v>129600</v>
      </c>
    </row>
    <row r="91" spans="1:9" ht="15.75" customHeight="1" x14ac:dyDescent="0.2">
      <c r="A91" s="71" t="s">
        <v>129</v>
      </c>
      <c r="B91" s="216" t="s">
        <v>130</v>
      </c>
      <c r="C91" s="217"/>
      <c r="D91" s="216"/>
      <c r="E91" s="218"/>
      <c r="F91" s="218"/>
      <c r="G91" s="217"/>
      <c r="H91" s="72"/>
      <c r="I91" s="73"/>
    </row>
    <row r="92" spans="1:9" ht="38.25" customHeight="1" x14ac:dyDescent="0.2">
      <c r="A92" s="74" t="s">
        <v>129</v>
      </c>
      <c r="B92" s="219" t="s">
        <v>131</v>
      </c>
      <c r="C92" s="220"/>
      <c r="D92" s="219" t="s">
        <v>132</v>
      </c>
      <c r="E92" s="221"/>
      <c r="F92" s="221"/>
      <c r="G92" s="220"/>
      <c r="H92" s="75"/>
      <c r="I92" s="76"/>
    </row>
    <row r="93" spans="1:9" ht="15.75" customHeight="1" x14ac:dyDescent="0.2">
      <c r="A93" s="74" t="s">
        <v>129</v>
      </c>
      <c r="B93" s="240" t="s">
        <v>137</v>
      </c>
      <c r="C93" s="241"/>
      <c r="D93" s="240"/>
      <c r="E93" s="242"/>
      <c r="F93" s="242"/>
      <c r="G93" s="241"/>
      <c r="H93" s="77"/>
      <c r="I93" s="78"/>
    </row>
    <row r="94" spans="1:9" ht="12.75" customHeight="1" x14ac:dyDescent="0.2">
      <c r="A94" s="96" t="s">
        <v>129</v>
      </c>
      <c r="B94" s="231" t="s">
        <v>224</v>
      </c>
      <c r="C94" s="232"/>
      <c r="D94" s="233">
        <v>1</v>
      </c>
      <c r="E94" s="234"/>
      <c r="F94" s="234"/>
      <c r="G94" s="235"/>
      <c r="H94" s="97"/>
      <c r="I94" s="80"/>
    </row>
    <row r="95" spans="1:9" ht="170.85" customHeight="1" x14ac:dyDescent="0.2">
      <c r="A95" s="90" t="s">
        <v>261</v>
      </c>
      <c r="B95" s="236" t="s">
        <v>262</v>
      </c>
      <c r="C95" s="237"/>
      <c r="D95" s="238" t="s">
        <v>263</v>
      </c>
      <c r="E95" s="189"/>
      <c r="F95" s="189"/>
      <c r="G95" s="239"/>
      <c r="H95" s="81" t="s">
        <v>264</v>
      </c>
      <c r="I95" s="82">
        <f>ROUND(2.17 * 4 * 540 * 4 * 1.2,2)</f>
        <v>22498.560000000001</v>
      </c>
    </row>
    <row r="96" spans="1:9" ht="15.75" customHeight="1" x14ac:dyDescent="0.2">
      <c r="A96" s="71" t="s">
        <v>129</v>
      </c>
      <c r="B96" s="216" t="s">
        <v>130</v>
      </c>
      <c r="C96" s="217"/>
      <c r="D96" s="216"/>
      <c r="E96" s="218"/>
      <c r="F96" s="218"/>
      <c r="G96" s="217"/>
      <c r="H96" s="72"/>
      <c r="I96" s="73"/>
    </row>
    <row r="97" spans="1:9" ht="38.25" customHeight="1" x14ac:dyDescent="0.2">
      <c r="A97" s="74" t="s">
        <v>129</v>
      </c>
      <c r="B97" s="219" t="s">
        <v>131</v>
      </c>
      <c r="C97" s="220"/>
      <c r="D97" s="219" t="s">
        <v>132</v>
      </c>
      <c r="E97" s="221"/>
      <c r="F97" s="221"/>
      <c r="G97" s="220"/>
      <c r="H97" s="75"/>
      <c r="I97" s="76"/>
    </row>
    <row r="98" spans="1:9" ht="89.25" customHeight="1" x14ac:dyDescent="0.2">
      <c r="A98" s="74" t="s">
        <v>129</v>
      </c>
      <c r="B98" s="219" t="s">
        <v>135</v>
      </c>
      <c r="C98" s="220"/>
      <c r="D98" s="219" t="s">
        <v>144</v>
      </c>
      <c r="E98" s="221"/>
      <c r="F98" s="221"/>
      <c r="G98" s="220"/>
      <c r="H98" s="75"/>
      <c r="I98" s="76"/>
    </row>
    <row r="99" spans="1:9" ht="15.75" customHeight="1" x14ac:dyDescent="0.2">
      <c r="A99" s="74" t="s">
        <v>129</v>
      </c>
      <c r="B99" s="240" t="s">
        <v>137</v>
      </c>
      <c r="C99" s="241"/>
      <c r="D99" s="240"/>
      <c r="E99" s="242"/>
      <c r="F99" s="242"/>
      <c r="G99" s="241"/>
      <c r="H99" s="77"/>
      <c r="I99" s="78"/>
    </row>
    <row r="100" spans="1:9" ht="12.75" customHeight="1" x14ac:dyDescent="0.2">
      <c r="A100" s="96" t="s">
        <v>129</v>
      </c>
      <c r="B100" s="231" t="s">
        <v>224</v>
      </c>
      <c r="C100" s="232"/>
      <c r="D100" s="233">
        <v>1</v>
      </c>
      <c r="E100" s="234"/>
      <c r="F100" s="234"/>
      <c r="G100" s="235"/>
      <c r="H100" s="97"/>
      <c r="I100" s="80"/>
    </row>
    <row r="101" spans="1:9" ht="158.1" customHeight="1" x14ac:dyDescent="0.2">
      <c r="A101" s="90" t="s">
        <v>265</v>
      </c>
      <c r="B101" s="236" t="s">
        <v>266</v>
      </c>
      <c r="C101" s="237"/>
      <c r="D101" s="238" t="s">
        <v>267</v>
      </c>
      <c r="E101" s="189"/>
      <c r="F101" s="189"/>
      <c r="G101" s="239"/>
      <c r="H101" s="81" t="s">
        <v>268</v>
      </c>
      <c r="I101" s="82">
        <f>ROUND(0.9 * 8 * 540 * 4 * 1.2 * 1.5,2)</f>
        <v>27993.599999999999</v>
      </c>
    </row>
    <row r="102" spans="1:9" ht="15.75" customHeight="1" x14ac:dyDescent="0.2">
      <c r="A102" s="71" t="s">
        <v>129</v>
      </c>
      <c r="B102" s="216" t="s">
        <v>130</v>
      </c>
      <c r="C102" s="217"/>
      <c r="D102" s="216"/>
      <c r="E102" s="218"/>
      <c r="F102" s="218"/>
      <c r="G102" s="217"/>
      <c r="H102" s="72"/>
      <c r="I102" s="73"/>
    </row>
    <row r="103" spans="1:9" ht="38.25" customHeight="1" x14ac:dyDescent="0.2">
      <c r="A103" s="74" t="s">
        <v>129</v>
      </c>
      <c r="B103" s="219" t="s">
        <v>131</v>
      </c>
      <c r="C103" s="220"/>
      <c r="D103" s="219" t="s">
        <v>132</v>
      </c>
      <c r="E103" s="221"/>
      <c r="F103" s="221"/>
      <c r="G103" s="220"/>
      <c r="H103" s="75"/>
      <c r="I103" s="76"/>
    </row>
    <row r="104" spans="1:9" ht="89.25" customHeight="1" x14ac:dyDescent="0.2">
      <c r="A104" s="74" t="s">
        <v>129</v>
      </c>
      <c r="B104" s="219" t="s">
        <v>135</v>
      </c>
      <c r="C104" s="220"/>
      <c r="D104" s="219" t="s">
        <v>144</v>
      </c>
      <c r="E104" s="221"/>
      <c r="F104" s="221"/>
      <c r="G104" s="220"/>
      <c r="H104" s="75"/>
      <c r="I104" s="76"/>
    </row>
    <row r="105" spans="1:9" ht="63.75" customHeight="1" x14ac:dyDescent="0.2">
      <c r="A105" s="74" t="s">
        <v>129</v>
      </c>
      <c r="B105" s="219" t="s">
        <v>164</v>
      </c>
      <c r="C105" s="220"/>
      <c r="D105" s="219" t="s">
        <v>256</v>
      </c>
      <c r="E105" s="221"/>
      <c r="F105" s="221"/>
      <c r="G105" s="220"/>
      <c r="H105" s="75"/>
      <c r="I105" s="76"/>
    </row>
    <row r="106" spans="1:9" ht="15.75" customHeight="1" x14ac:dyDescent="0.2">
      <c r="A106" s="74" t="s">
        <v>129</v>
      </c>
      <c r="B106" s="240" t="s">
        <v>137</v>
      </c>
      <c r="C106" s="241"/>
      <c r="D106" s="240"/>
      <c r="E106" s="242"/>
      <c r="F106" s="242"/>
      <c r="G106" s="241"/>
      <c r="H106" s="77"/>
      <c r="I106" s="78"/>
    </row>
    <row r="107" spans="1:9" ht="12.75" customHeight="1" x14ac:dyDescent="0.2">
      <c r="A107" s="96" t="s">
        <v>129</v>
      </c>
      <c r="B107" s="231" t="s">
        <v>224</v>
      </c>
      <c r="C107" s="232"/>
      <c r="D107" s="233">
        <v>1</v>
      </c>
      <c r="E107" s="234"/>
      <c r="F107" s="234"/>
      <c r="G107" s="235"/>
      <c r="H107" s="97"/>
      <c r="I107" s="80"/>
    </row>
    <row r="108" spans="1:9" ht="272.85000000000002" customHeight="1" x14ac:dyDescent="0.2">
      <c r="A108" s="90" t="s">
        <v>269</v>
      </c>
      <c r="B108" s="236" t="s">
        <v>258</v>
      </c>
      <c r="C108" s="237"/>
      <c r="D108" s="238" t="s">
        <v>185</v>
      </c>
      <c r="E108" s="189"/>
      <c r="F108" s="189"/>
      <c r="G108" s="239"/>
      <c r="H108" s="81" t="s">
        <v>270</v>
      </c>
      <c r="I108" s="82">
        <f>ROUND(6 * 8 * 540 * 4,2)</f>
        <v>103680</v>
      </c>
    </row>
    <row r="109" spans="1:9" ht="15.75" customHeight="1" x14ac:dyDescent="0.2">
      <c r="A109" s="71" t="s">
        <v>129</v>
      </c>
      <c r="B109" s="216" t="s">
        <v>130</v>
      </c>
      <c r="C109" s="217"/>
      <c r="D109" s="216"/>
      <c r="E109" s="218"/>
      <c r="F109" s="218"/>
      <c r="G109" s="217"/>
      <c r="H109" s="72"/>
      <c r="I109" s="73"/>
    </row>
    <row r="110" spans="1:9" ht="38.25" customHeight="1" x14ac:dyDescent="0.2">
      <c r="A110" s="74" t="s">
        <v>129</v>
      </c>
      <c r="B110" s="219" t="s">
        <v>131</v>
      </c>
      <c r="C110" s="220"/>
      <c r="D110" s="219" t="s">
        <v>132</v>
      </c>
      <c r="E110" s="221"/>
      <c r="F110" s="221"/>
      <c r="G110" s="220"/>
      <c r="H110" s="75"/>
      <c r="I110" s="76"/>
    </row>
    <row r="111" spans="1:9" ht="15.75" customHeight="1" x14ac:dyDescent="0.2">
      <c r="A111" s="74" t="s">
        <v>129</v>
      </c>
      <c r="B111" s="240" t="s">
        <v>137</v>
      </c>
      <c r="C111" s="241"/>
      <c r="D111" s="240"/>
      <c r="E111" s="242"/>
      <c r="F111" s="242"/>
      <c r="G111" s="241"/>
      <c r="H111" s="77"/>
      <c r="I111" s="78"/>
    </row>
    <row r="112" spans="1:9" ht="12.75" customHeight="1" x14ac:dyDescent="0.2">
      <c r="A112" s="96" t="s">
        <v>129</v>
      </c>
      <c r="B112" s="231" t="s">
        <v>224</v>
      </c>
      <c r="C112" s="232"/>
      <c r="D112" s="233">
        <v>1</v>
      </c>
      <c r="E112" s="234"/>
      <c r="F112" s="234"/>
      <c r="G112" s="235"/>
      <c r="H112" s="97"/>
      <c r="I112" s="80"/>
    </row>
    <row r="113" spans="1:9" ht="25.5" customHeight="1" x14ac:dyDescent="0.2">
      <c r="A113" s="96" t="s">
        <v>271</v>
      </c>
      <c r="B113" s="243" t="s">
        <v>272</v>
      </c>
      <c r="C113" s="244"/>
      <c r="D113" s="243"/>
      <c r="E113" s="245"/>
      <c r="F113" s="245"/>
      <c r="G113" s="244"/>
      <c r="H113" s="83"/>
      <c r="I113" s="84">
        <f>ROUND((SUM($I$36:$I$108)),2)</f>
        <v>965586.15</v>
      </c>
    </row>
    <row r="114" spans="1:9" ht="25.5" customHeight="1" x14ac:dyDescent="0.2">
      <c r="A114" s="65" t="s">
        <v>273</v>
      </c>
      <c r="B114" s="228" t="s">
        <v>274</v>
      </c>
      <c r="C114" s="229"/>
      <c r="D114" s="228"/>
      <c r="E114" s="230"/>
      <c r="F114" s="230"/>
      <c r="G114" s="229"/>
      <c r="H114" s="66"/>
      <c r="I114" s="70">
        <f>ROUND(($I$113),2)</f>
        <v>965586.15</v>
      </c>
    </row>
    <row r="115" spans="1:9" ht="12.75" customHeight="1" x14ac:dyDescent="0.2">
      <c r="A115" s="65" t="s">
        <v>23</v>
      </c>
      <c r="B115" s="228" t="s">
        <v>115</v>
      </c>
      <c r="C115" s="229"/>
      <c r="D115" s="228" t="s">
        <v>275</v>
      </c>
      <c r="E115" s="230"/>
      <c r="F115" s="230"/>
      <c r="G115" s="229"/>
      <c r="H115" s="66"/>
      <c r="I115" s="67"/>
    </row>
    <row r="116" spans="1:9" ht="183.6" customHeight="1" x14ac:dyDescent="0.2">
      <c r="A116" s="252" t="s">
        <v>149</v>
      </c>
      <c r="B116" s="211" t="s">
        <v>276</v>
      </c>
      <c r="C116" s="212"/>
      <c r="D116" s="213" t="s">
        <v>897</v>
      </c>
      <c r="E116" s="214"/>
      <c r="F116" s="214"/>
      <c r="G116" s="215"/>
      <c r="H116" s="253" t="s">
        <v>898</v>
      </c>
      <c r="I116" s="254">
        <f>ROUND((32.25 + ((35.15 - 32.25) / (7 - 5)) * (5.128 - 5)) * 1 * 540 * 4 * 1.3 * 1.2,2)</f>
        <v>109295</v>
      </c>
    </row>
    <row r="117" spans="1:9" ht="12.75" customHeight="1" x14ac:dyDescent="0.2">
      <c r="A117" s="206"/>
      <c r="B117" s="236"/>
      <c r="C117" s="237"/>
      <c r="D117" s="238"/>
      <c r="E117" s="189"/>
      <c r="F117" s="189"/>
      <c r="G117" s="239"/>
      <c r="H117" s="202"/>
      <c r="I117" s="205"/>
    </row>
    <row r="118" spans="1:9" ht="15.75" customHeight="1" x14ac:dyDescent="0.2">
      <c r="A118" s="71" t="s">
        <v>129</v>
      </c>
      <c r="B118" s="216" t="s">
        <v>130</v>
      </c>
      <c r="C118" s="217"/>
      <c r="D118" s="216"/>
      <c r="E118" s="218"/>
      <c r="F118" s="218"/>
      <c r="G118" s="217"/>
      <c r="H118" s="72"/>
      <c r="I118" s="73"/>
    </row>
    <row r="119" spans="1:9" ht="38.25" customHeight="1" x14ac:dyDescent="0.2">
      <c r="A119" s="74" t="s">
        <v>129</v>
      </c>
      <c r="B119" s="219" t="s">
        <v>131</v>
      </c>
      <c r="C119" s="220"/>
      <c r="D119" s="219" t="s">
        <v>132</v>
      </c>
      <c r="E119" s="221"/>
      <c r="F119" s="221"/>
      <c r="G119" s="220"/>
      <c r="H119" s="75"/>
      <c r="I119" s="76"/>
    </row>
    <row r="120" spans="1:9" ht="38.25" customHeight="1" x14ac:dyDescent="0.2">
      <c r="A120" s="74" t="s">
        <v>129</v>
      </c>
      <c r="B120" s="219" t="s">
        <v>277</v>
      </c>
      <c r="C120" s="220"/>
      <c r="D120" s="219" t="s">
        <v>278</v>
      </c>
      <c r="E120" s="221"/>
      <c r="F120" s="221"/>
      <c r="G120" s="220"/>
      <c r="H120" s="75"/>
      <c r="I120" s="76"/>
    </row>
    <row r="121" spans="1:9" ht="89.25" customHeight="1" x14ac:dyDescent="0.2">
      <c r="A121" s="74" t="s">
        <v>129</v>
      </c>
      <c r="B121" s="219" t="s">
        <v>135</v>
      </c>
      <c r="C121" s="220"/>
      <c r="D121" s="219" t="s">
        <v>136</v>
      </c>
      <c r="E121" s="221"/>
      <c r="F121" s="221"/>
      <c r="G121" s="220"/>
      <c r="H121" s="75"/>
      <c r="I121" s="76"/>
    </row>
    <row r="122" spans="1:9" ht="15.75" customHeight="1" x14ac:dyDescent="0.2">
      <c r="A122" s="74" t="s">
        <v>129</v>
      </c>
      <c r="B122" s="240" t="s">
        <v>137</v>
      </c>
      <c r="C122" s="241"/>
      <c r="D122" s="240"/>
      <c r="E122" s="242"/>
      <c r="F122" s="242"/>
      <c r="G122" s="241"/>
      <c r="H122" s="77"/>
      <c r="I122" s="78"/>
    </row>
    <row r="123" spans="1:9" ht="12.75" customHeight="1" x14ac:dyDescent="0.2">
      <c r="A123" s="96" t="s">
        <v>129</v>
      </c>
      <c r="B123" s="231" t="s">
        <v>224</v>
      </c>
      <c r="C123" s="232"/>
      <c r="D123" s="233">
        <v>1</v>
      </c>
      <c r="E123" s="234"/>
      <c r="F123" s="234"/>
      <c r="G123" s="235"/>
      <c r="H123" s="97"/>
      <c r="I123" s="80"/>
    </row>
    <row r="124" spans="1:9" ht="196.35" customHeight="1" x14ac:dyDescent="0.2">
      <c r="A124" s="90" t="s">
        <v>160</v>
      </c>
      <c r="B124" s="236" t="s">
        <v>188</v>
      </c>
      <c r="C124" s="237"/>
      <c r="D124" s="238" t="s">
        <v>279</v>
      </c>
      <c r="E124" s="189"/>
      <c r="F124" s="189"/>
      <c r="G124" s="239"/>
      <c r="H124" s="81" t="s">
        <v>280</v>
      </c>
      <c r="I124" s="82">
        <f>ROUND(37.35 * 0.5 * 540 * 4 * 1.1 * 1.2,2)</f>
        <v>53246.16</v>
      </c>
    </row>
    <row r="125" spans="1:9" ht="15.75" customHeight="1" x14ac:dyDescent="0.2">
      <c r="A125" s="71" t="s">
        <v>129</v>
      </c>
      <c r="B125" s="216" t="s">
        <v>130</v>
      </c>
      <c r="C125" s="217"/>
      <c r="D125" s="216"/>
      <c r="E125" s="218"/>
      <c r="F125" s="218"/>
      <c r="G125" s="217"/>
      <c r="H125" s="72"/>
      <c r="I125" s="73"/>
    </row>
    <row r="126" spans="1:9" ht="38.25" customHeight="1" x14ac:dyDescent="0.2">
      <c r="A126" s="74" t="s">
        <v>129</v>
      </c>
      <c r="B126" s="219" t="s">
        <v>131</v>
      </c>
      <c r="C126" s="220"/>
      <c r="D126" s="219" t="s">
        <v>132</v>
      </c>
      <c r="E126" s="221"/>
      <c r="F126" s="221"/>
      <c r="G126" s="220"/>
      <c r="H126" s="75"/>
      <c r="I126" s="76"/>
    </row>
    <row r="127" spans="1:9" ht="63.75" customHeight="1" x14ac:dyDescent="0.2">
      <c r="A127" s="74" t="s">
        <v>129</v>
      </c>
      <c r="B127" s="219" t="s">
        <v>281</v>
      </c>
      <c r="C127" s="220"/>
      <c r="D127" s="219" t="s">
        <v>282</v>
      </c>
      <c r="E127" s="221"/>
      <c r="F127" s="221"/>
      <c r="G127" s="220"/>
      <c r="H127" s="75"/>
      <c r="I127" s="76"/>
    </row>
    <row r="128" spans="1:9" ht="89.25" customHeight="1" x14ac:dyDescent="0.2">
      <c r="A128" s="74" t="s">
        <v>129</v>
      </c>
      <c r="B128" s="219" t="s">
        <v>135</v>
      </c>
      <c r="C128" s="220"/>
      <c r="D128" s="219" t="s">
        <v>136</v>
      </c>
      <c r="E128" s="221"/>
      <c r="F128" s="221"/>
      <c r="G128" s="220"/>
      <c r="H128" s="75"/>
      <c r="I128" s="76"/>
    </row>
    <row r="129" spans="1:9" ht="15.75" customHeight="1" x14ac:dyDescent="0.2">
      <c r="A129" s="74" t="s">
        <v>129</v>
      </c>
      <c r="B129" s="240" t="s">
        <v>137</v>
      </c>
      <c r="C129" s="241"/>
      <c r="D129" s="240"/>
      <c r="E129" s="242"/>
      <c r="F129" s="242"/>
      <c r="G129" s="241"/>
      <c r="H129" s="77"/>
      <c r="I129" s="78"/>
    </row>
    <row r="130" spans="1:9" ht="12.75" customHeight="1" x14ac:dyDescent="0.2">
      <c r="A130" s="96" t="s">
        <v>129</v>
      </c>
      <c r="B130" s="231" t="s">
        <v>224</v>
      </c>
      <c r="C130" s="232"/>
      <c r="D130" s="233">
        <v>1</v>
      </c>
      <c r="E130" s="234"/>
      <c r="F130" s="234"/>
      <c r="G130" s="235"/>
      <c r="H130" s="97"/>
      <c r="I130" s="80"/>
    </row>
    <row r="131" spans="1:9" ht="196.35" customHeight="1" x14ac:dyDescent="0.2">
      <c r="A131" s="90" t="s">
        <v>166</v>
      </c>
      <c r="B131" s="236" t="s">
        <v>283</v>
      </c>
      <c r="C131" s="237"/>
      <c r="D131" s="238" t="s">
        <v>284</v>
      </c>
      <c r="E131" s="189"/>
      <c r="F131" s="189"/>
      <c r="G131" s="239"/>
      <c r="H131" s="81" t="s">
        <v>285</v>
      </c>
      <c r="I131" s="82">
        <f>ROUND(53.28 * 0.5 * 540 * 4 * 1.1 * 1.2,2)</f>
        <v>75955.97</v>
      </c>
    </row>
    <row r="132" spans="1:9" ht="15.75" customHeight="1" x14ac:dyDescent="0.2">
      <c r="A132" s="71" t="s">
        <v>129</v>
      </c>
      <c r="B132" s="216" t="s">
        <v>130</v>
      </c>
      <c r="C132" s="217"/>
      <c r="D132" s="216"/>
      <c r="E132" s="218"/>
      <c r="F132" s="218"/>
      <c r="G132" s="217"/>
      <c r="H132" s="72"/>
      <c r="I132" s="73"/>
    </row>
    <row r="133" spans="1:9" ht="38.25" customHeight="1" x14ac:dyDescent="0.2">
      <c r="A133" s="74" t="s">
        <v>129</v>
      </c>
      <c r="B133" s="219" t="s">
        <v>131</v>
      </c>
      <c r="C133" s="220"/>
      <c r="D133" s="219" t="s">
        <v>132</v>
      </c>
      <c r="E133" s="221"/>
      <c r="F133" s="221"/>
      <c r="G133" s="220"/>
      <c r="H133" s="75"/>
      <c r="I133" s="76"/>
    </row>
    <row r="134" spans="1:9" ht="63.75" customHeight="1" x14ac:dyDescent="0.2">
      <c r="A134" s="74" t="s">
        <v>129</v>
      </c>
      <c r="B134" s="219" t="s">
        <v>281</v>
      </c>
      <c r="C134" s="220"/>
      <c r="D134" s="219" t="s">
        <v>282</v>
      </c>
      <c r="E134" s="221"/>
      <c r="F134" s="221"/>
      <c r="G134" s="220"/>
      <c r="H134" s="75"/>
      <c r="I134" s="76"/>
    </row>
    <row r="135" spans="1:9" ht="89.25" customHeight="1" x14ac:dyDescent="0.2">
      <c r="A135" s="74" t="s">
        <v>129</v>
      </c>
      <c r="B135" s="219" t="s">
        <v>135</v>
      </c>
      <c r="C135" s="220"/>
      <c r="D135" s="219" t="s">
        <v>136</v>
      </c>
      <c r="E135" s="221"/>
      <c r="F135" s="221"/>
      <c r="G135" s="220"/>
      <c r="H135" s="75"/>
      <c r="I135" s="76"/>
    </row>
    <row r="136" spans="1:9" ht="15.75" customHeight="1" x14ac:dyDescent="0.2">
      <c r="A136" s="74" t="s">
        <v>129</v>
      </c>
      <c r="B136" s="240" t="s">
        <v>137</v>
      </c>
      <c r="C136" s="241"/>
      <c r="D136" s="240"/>
      <c r="E136" s="242"/>
      <c r="F136" s="242"/>
      <c r="G136" s="241"/>
      <c r="H136" s="77"/>
      <c r="I136" s="78"/>
    </row>
    <row r="137" spans="1:9" ht="12.75" customHeight="1" x14ac:dyDescent="0.2">
      <c r="A137" s="96" t="s">
        <v>129</v>
      </c>
      <c r="B137" s="231" t="s">
        <v>224</v>
      </c>
      <c r="C137" s="232"/>
      <c r="D137" s="233">
        <v>1</v>
      </c>
      <c r="E137" s="234"/>
      <c r="F137" s="234"/>
      <c r="G137" s="235"/>
      <c r="H137" s="97"/>
      <c r="I137" s="80"/>
    </row>
    <row r="138" spans="1:9" ht="25.5" customHeight="1" x14ac:dyDescent="0.2">
      <c r="A138" s="96" t="s">
        <v>171</v>
      </c>
      <c r="B138" s="243" t="s">
        <v>286</v>
      </c>
      <c r="C138" s="244"/>
      <c r="D138" s="243"/>
      <c r="E138" s="245"/>
      <c r="F138" s="245"/>
      <c r="G138" s="244"/>
      <c r="H138" s="83"/>
      <c r="I138" s="84">
        <f>ROUND((SUM($I$116:$I$131)),2)</f>
        <v>238497.13</v>
      </c>
    </row>
    <row r="139" spans="1:9" ht="25.5" customHeight="1" x14ac:dyDescent="0.2">
      <c r="A139" s="65" t="s">
        <v>180</v>
      </c>
      <c r="B139" s="228" t="s">
        <v>287</v>
      </c>
      <c r="C139" s="229"/>
      <c r="D139" s="228"/>
      <c r="E139" s="230"/>
      <c r="F139" s="230"/>
      <c r="G139" s="229"/>
      <c r="H139" s="66"/>
      <c r="I139" s="70">
        <f>ROUND(($I$138),2)</f>
        <v>238497.13</v>
      </c>
    </row>
    <row r="140" spans="1:9" ht="38.25" customHeight="1" x14ac:dyDescent="0.2">
      <c r="A140" s="65" t="s">
        <v>24</v>
      </c>
      <c r="B140" s="228" t="s">
        <v>115</v>
      </c>
      <c r="C140" s="229"/>
      <c r="D140" s="228" t="s">
        <v>288</v>
      </c>
      <c r="E140" s="230"/>
      <c r="F140" s="230"/>
      <c r="G140" s="229"/>
      <c r="H140" s="66"/>
      <c r="I140" s="67"/>
    </row>
    <row r="141" spans="1:9" ht="247.35" customHeight="1" x14ac:dyDescent="0.2">
      <c r="A141" s="85" t="s">
        <v>289</v>
      </c>
      <c r="B141" s="211" t="s">
        <v>290</v>
      </c>
      <c r="C141" s="212"/>
      <c r="D141" s="213" t="s">
        <v>899</v>
      </c>
      <c r="E141" s="214"/>
      <c r="F141" s="214"/>
      <c r="G141" s="215"/>
      <c r="H141" s="87" t="s">
        <v>900</v>
      </c>
      <c r="I141" s="88">
        <f>ROUND((138.53 + ((195.87 - 138.53) / (7 - 5)) * (5.128 - 5)) * 1 * 540 * 4 * 1.2,2)</f>
        <v>368581.78</v>
      </c>
    </row>
    <row r="142" spans="1:9" ht="15.75" customHeight="1" x14ac:dyDescent="0.2">
      <c r="A142" s="71" t="s">
        <v>129</v>
      </c>
      <c r="B142" s="216" t="s">
        <v>130</v>
      </c>
      <c r="C142" s="217"/>
      <c r="D142" s="216"/>
      <c r="E142" s="218"/>
      <c r="F142" s="218"/>
      <c r="G142" s="217"/>
      <c r="H142" s="72"/>
      <c r="I142" s="73"/>
    </row>
    <row r="143" spans="1:9" ht="38.25" customHeight="1" x14ac:dyDescent="0.2">
      <c r="A143" s="74" t="s">
        <v>129</v>
      </c>
      <c r="B143" s="219" t="s">
        <v>131</v>
      </c>
      <c r="C143" s="220"/>
      <c r="D143" s="219" t="s">
        <v>132</v>
      </c>
      <c r="E143" s="221"/>
      <c r="F143" s="221"/>
      <c r="G143" s="220"/>
      <c r="H143" s="75"/>
      <c r="I143" s="76"/>
    </row>
    <row r="144" spans="1:9" ht="89.25" customHeight="1" x14ac:dyDescent="0.2">
      <c r="A144" s="74" t="s">
        <v>129</v>
      </c>
      <c r="B144" s="219" t="s">
        <v>135</v>
      </c>
      <c r="C144" s="220"/>
      <c r="D144" s="219" t="s">
        <v>144</v>
      </c>
      <c r="E144" s="221"/>
      <c r="F144" s="221"/>
      <c r="G144" s="220"/>
      <c r="H144" s="75"/>
      <c r="I144" s="76"/>
    </row>
    <row r="145" spans="1:9" ht="15.75" customHeight="1" x14ac:dyDescent="0.2">
      <c r="A145" s="74" t="s">
        <v>129</v>
      </c>
      <c r="B145" s="240" t="s">
        <v>137</v>
      </c>
      <c r="C145" s="241"/>
      <c r="D145" s="240"/>
      <c r="E145" s="242"/>
      <c r="F145" s="242"/>
      <c r="G145" s="241"/>
      <c r="H145" s="77"/>
      <c r="I145" s="78"/>
    </row>
    <row r="146" spans="1:9" ht="12.75" customHeight="1" x14ac:dyDescent="0.2">
      <c r="A146" s="96" t="s">
        <v>129</v>
      </c>
      <c r="B146" s="231" t="s">
        <v>224</v>
      </c>
      <c r="C146" s="232"/>
      <c r="D146" s="233">
        <v>1</v>
      </c>
      <c r="E146" s="234"/>
      <c r="F146" s="234"/>
      <c r="G146" s="235"/>
      <c r="H146" s="97"/>
      <c r="I146" s="80"/>
    </row>
    <row r="147" spans="1:9" ht="196.35" customHeight="1" x14ac:dyDescent="0.2">
      <c r="A147" s="90" t="s">
        <v>291</v>
      </c>
      <c r="B147" s="236" t="s">
        <v>188</v>
      </c>
      <c r="C147" s="237"/>
      <c r="D147" s="238" t="s">
        <v>279</v>
      </c>
      <c r="E147" s="189"/>
      <c r="F147" s="189"/>
      <c r="G147" s="239"/>
      <c r="H147" s="81" t="s">
        <v>280</v>
      </c>
      <c r="I147" s="82">
        <f>ROUND(37.35 * 0.5 * 540 * 4 * 1.1 * 1.2,2)</f>
        <v>53246.16</v>
      </c>
    </row>
    <row r="148" spans="1:9" ht="15.75" customHeight="1" x14ac:dyDescent="0.2">
      <c r="A148" s="71" t="s">
        <v>129</v>
      </c>
      <c r="B148" s="216" t="s">
        <v>130</v>
      </c>
      <c r="C148" s="217"/>
      <c r="D148" s="216"/>
      <c r="E148" s="218"/>
      <c r="F148" s="218"/>
      <c r="G148" s="217"/>
      <c r="H148" s="72"/>
      <c r="I148" s="73"/>
    </row>
    <row r="149" spans="1:9" ht="38.25" customHeight="1" x14ac:dyDescent="0.2">
      <c r="A149" s="74" t="s">
        <v>129</v>
      </c>
      <c r="B149" s="219" t="s">
        <v>131</v>
      </c>
      <c r="C149" s="220"/>
      <c r="D149" s="219" t="s">
        <v>132</v>
      </c>
      <c r="E149" s="221"/>
      <c r="F149" s="221"/>
      <c r="G149" s="220"/>
      <c r="H149" s="75"/>
      <c r="I149" s="76"/>
    </row>
    <row r="150" spans="1:9" ht="63.75" customHeight="1" x14ac:dyDescent="0.2">
      <c r="A150" s="74" t="s">
        <v>129</v>
      </c>
      <c r="B150" s="219" t="s">
        <v>281</v>
      </c>
      <c r="C150" s="220"/>
      <c r="D150" s="219" t="s">
        <v>282</v>
      </c>
      <c r="E150" s="221"/>
      <c r="F150" s="221"/>
      <c r="G150" s="220"/>
      <c r="H150" s="75"/>
      <c r="I150" s="76"/>
    </row>
    <row r="151" spans="1:9" ht="89.25" customHeight="1" x14ac:dyDescent="0.2">
      <c r="A151" s="74" t="s">
        <v>129</v>
      </c>
      <c r="B151" s="219" t="s">
        <v>135</v>
      </c>
      <c r="C151" s="220"/>
      <c r="D151" s="219" t="s">
        <v>136</v>
      </c>
      <c r="E151" s="221"/>
      <c r="F151" s="221"/>
      <c r="G151" s="220"/>
      <c r="H151" s="75"/>
      <c r="I151" s="76"/>
    </row>
    <row r="152" spans="1:9" ht="15.75" customHeight="1" x14ac:dyDescent="0.2">
      <c r="A152" s="74" t="s">
        <v>129</v>
      </c>
      <c r="B152" s="240" t="s">
        <v>137</v>
      </c>
      <c r="C152" s="241"/>
      <c r="D152" s="240"/>
      <c r="E152" s="242"/>
      <c r="F152" s="242"/>
      <c r="G152" s="241"/>
      <c r="H152" s="77"/>
      <c r="I152" s="78"/>
    </row>
    <row r="153" spans="1:9" ht="12.75" customHeight="1" x14ac:dyDescent="0.2">
      <c r="A153" s="96" t="s">
        <v>129</v>
      </c>
      <c r="B153" s="231" t="s">
        <v>224</v>
      </c>
      <c r="C153" s="232"/>
      <c r="D153" s="233">
        <v>1</v>
      </c>
      <c r="E153" s="234"/>
      <c r="F153" s="234"/>
      <c r="G153" s="235"/>
      <c r="H153" s="97"/>
      <c r="I153" s="80"/>
    </row>
    <row r="154" spans="1:9" ht="196.35" customHeight="1" x14ac:dyDescent="0.2">
      <c r="A154" s="90" t="s">
        <v>292</v>
      </c>
      <c r="B154" s="236" t="s">
        <v>283</v>
      </c>
      <c r="C154" s="237"/>
      <c r="D154" s="238" t="s">
        <v>284</v>
      </c>
      <c r="E154" s="189"/>
      <c r="F154" s="189"/>
      <c r="G154" s="239"/>
      <c r="H154" s="81" t="s">
        <v>285</v>
      </c>
      <c r="I154" s="82">
        <f>ROUND(53.28 * 0.5 * 540 * 4 * 1.1 * 1.2,2)</f>
        <v>75955.97</v>
      </c>
    </row>
    <row r="155" spans="1:9" ht="15.75" customHeight="1" x14ac:dyDescent="0.2">
      <c r="A155" s="71" t="s">
        <v>129</v>
      </c>
      <c r="B155" s="216" t="s">
        <v>130</v>
      </c>
      <c r="C155" s="217"/>
      <c r="D155" s="216"/>
      <c r="E155" s="218"/>
      <c r="F155" s="218"/>
      <c r="G155" s="217"/>
      <c r="H155" s="72"/>
      <c r="I155" s="73"/>
    </row>
    <row r="156" spans="1:9" ht="38.25" customHeight="1" x14ac:dyDescent="0.2">
      <c r="A156" s="74" t="s">
        <v>129</v>
      </c>
      <c r="B156" s="219" t="s">
        <v>131</v>
      </c>
      <c r="C156" s="220"/>
      <c r="D156" s="219" t="s">
        <v>132</v>
      </c>
      <c r="E156" s="221"/>
      <c r="F156" s="221"/>
      <c r="G156" s="220"/>
      <c r="H156" s="75"/>
      <c r="I156" s="76"/>
    </row>
    <row r="157" spans="1:9" ht="63.75" customHeight="1" x14ac:dyDescent="0.2">
      <c r="A157" s="74" t="s">
        <v>129</v>
      </c>
      <c r="B157" s="219" t="s">
        <v>281</v>
      </c>
      <c r="C157" s="220"/>
      <c r="D157" s="219" t="s">
        <v>282</v>
      </c>
      <c r="E157" s="221"/>
      <c r="F157" s="221"/>
      <c r="G157" s="220"/>
      <c r="H157" s="75"/>
      <c r="I157" s="76"/>
    </row>
    <row r="158" spans="1:9" ht="89.25" customHeight="1" x14ac:dyDescent="0.2">
      <c r="A158" s="74" t="s">
        <v>129</v>
      </c>
      <c r="B158" s="219" t="s">
        <v>135</v>
      </c>
      <c r="C158" s="220"/>
      <c r="D158" s="219" t="s">
        <v>136</v>
      </c>
      <c r="E158" s="221"/>
      <c r="F158" s="221"/>
      <c r="G158" s="220"/>
      <c r="H158" s="75"/>
      <c r="I158" s="76"/>
    </row>
    <row r="159" spans="1:9" ht="15.75" customHeight="1" x14ac:dyDescent="0.2">
      <c r="A159" s="74" t="s">
        <v>129</v>
      </c>
      <c r="B159" s="240" t="s">
        <v>137</v>
      </c>
      <c r="C159" s="241"/>
      <c r="D159" s="240"/>
      <c r="E159" s="242"/>
      <c r="F159" s="242"/>
      <c r="G159" s="241"/>
      <c r="H159" s="77"/>
      <c r="I159" s="78"/>
    </row>
    <row r="160" spans="1:9" ht="12.75" customHeight="1" x14ac:dyDescent="0.2">
      <c r="A160" s="96" t="s">
        <v>129</v>
      </c>
      <c r="B160" s="231" t="s">
        <v>224</v>
      </c>
      <c r="C160" s="232"/>
      <c r="D160" s="233">
        <v>1</v>
      </c>
      <c r="E160" s="234"/>
      <c r="F160" s="234"/>
      <c r="G160" s="235"/>
      <c r="H160" s="97"/>
      <c r="I160" s="80"/>
    </row>
    <row r="161" spans="1:9" ht="63.75" customHeight="1" x14ac:dyDescent="0.2">
      <c r="A161" s="96" t="s">
        <v>293</v>
      </c>
      <c r="B161" s="243" t="s">
        <v>294</v>
      </c>
      <c r="C161" s="244"/>
      <c r="D161" s="243"/>
      <c r="E161" s="245"/>
      <c r="F161" s="245"/>
      <c r="G161" s="244"/>
      <c r="H161" s="83"/>
      <c r="I161" s="84">
        <f>ROUND((SUM($I$141:$I$154)),2)</f>
        <v>497783.91</v>
      </c>
    </row>
    <row r="162" spans="1:9" ht="63.75" customHeight="1" x14ac:dyDescent="0.2">
      <c r="A162" s="65" t="s">
        <v>295</v>
      </c>
      <c r="B162" s="228" t="s">
        <v>296</v>
      </c>
      <c r="C162" s="229"/>
      <c r="D162" s="228"/>
      <c r="E162" s="230"/>
      <c r="F162" s="230"/>
      <c r="G162" s="229"/>
      <c r="H162" s="66"/>
      <c r="I162" s="70">
        <f>ROUND(($I$161),2)</f>
        <v>497783.91</v>
      </c>
    </row>
    <row r="163" spans="1:9" ht="12.75" customHeight="1" x14ac:dyDescent="0.2">
      <c r="A163" s="65" t="s">
        <v>25</v>
      </c>
      <c r="B163" s="228" t="s">
        <v>115</v>
      </c>
      <c r="C163" s="229"/>
      <c r="D163" s="228" t="s">
        <v>297</v>
      </c>
      <c r="E163" s="230"/>
      <c r="F163" s="230"/>
      <c r="G163" s="229"/>
      <c r="H163" s="66"/>
      <c r="I163" s="67"/>
    </row>
    <row r="164" spans="1:9" ht="196.35" customHeight="1" x14ac:dyDescent="0.2">
      <c r="A164" s="85" t="s">
        <v>298</v>
      </c>
      <c r="B164" s="211" t="s">
        <v>299</v>
      </c>
      <c r="C164" s="212"/>
      <c r="D164" s="213" t="s">
        <v>300</v>
      </c>
      <c r="E164" s="214"/>
      <c r="F164" s="214"/>
      <c r="G164" s="215"/>
      <c r="H164" s="87" t="s">
        <v>301</v>
      </c>
      <c r="I164" s="88">
        <f>ROUND(39.12 * 2 * 540 * 4 * 1.1 * 1.2,2)</f>
        <v>223077.89</v>
      </c>
    </row>
    <row r="165" spans="1:9" ht="15.75" customHeight="1" x14ac:dyDescent="0.2">
      <c r="A165" s="71" t="s">
        <v>129</v>
      </c>
      <c r="B165" s="216" t="s">
        <v>130</v>
      </c>
      <c r="C165" s="217"/>
      <c r="D165" s="216"/>
      <c r="E165" s="218"/>
      <c r="F165" s="218"/>
      <c r="G165" s="217"/>
      <c r="H165" s="72"/>
      <c r="I165" s="73"/>
    </row>
    <row r="166" spans="1:9" ht="38.25" customHeight="1" x14ac:dyDescent="0.2">
      <c r="A166" s="74" t="s">
        <v>129</v>
      </c>
      <c r="B166" s="219" t="s">
        <v>131</v>
      </c>
      <c r="C166" s="220"/>
      <c r="D166" s="219" t="s">
        <v>132</v>
      </c>
      <c r="E166" s="221"/>
      <c r="F166" s="221"/>
      <c r="G166" s="220"/>
      <c r="H166" s="75"/>
      <c r="I166" s="76"/>
    </row>
    <row r="167" spans="1:9" ht="63.75" customHeight="1" x14ac:dyDescent="0.2">
      <c r="A167" s="74" t="s">
        <v>129</v>
      </c>
      <c r="B167" s="219" t="s">
        <v>281</v>
      </c>
      <c r="C167" s="220"/>
      <c r="D167" s="219" t="s">
        <v>282</v>
      </c>
      <c r="E167" s="221"/>
      <c r="F167" s="221"/>
      <c r="G167" s="220"/>
      <c r="H167" s="75"/>
      <c r="I167" s="76"/>
    </row>
    <row r="168" spans="1:9" ht="89.25" customHeight="1" x14ac:dyDescent="0.2">
      <c r="A168" s="74" t="s">
        <v>129</v>
      </c>
      <c r="B168" s="219" t="s">
        <v>135</v>
      </c>
      <c r="C168" s="220"/>
      <c r="D168" s="219" t="s">
        <v>136</v>
      </c>
      <c r="E168" s="221"/>
      <c r="F168" s="221"/>
      <c r="G168" s="220"/>
      <c r="H168" s="75"/>
      <c r="I168" s="76"/>
    </row>
    <row r="169" spans="1:9" ht="15.75" customHeight="1" x14ac:dyDescent="0.2">
      <c r="A169" s="74" t="s">
        <v>129</v>
      </c>
      <c r="B169" s="240" t="s">
        <v>137</v>
      </c>
      <c r="C169" s="241"/>
      <c r="D169" s="240"/>
      <c r="E169" s="242"/>
      <c r="F169" s="242"/>
      <c r="G169" s="241"/>
      <c r="H169" s="77"/>
      <c r="I169" s="78"/>
    </row>
    <row r="170" spans="1:9" ht="12.75" customHeight="1" x14ac:dyDescent="0.2">
      <c r="A170" s="96" t="s">
        <v>129</v>
      </c>
      <c r="B170" s="231" t="s">
        <v>224</v>
      </c>
      <c r="C170" s="232"/>
      <c r="D170" s="233">
        <v>1</v>
      </c>
      <c r="E170" s="234"/>
      <c r="F170" s="234"/>
      <c r="G170" s="235"/>
      <c r="H170" s="97"/>
      <c r="I170" s="80"/>
    </row>
    <row r="171" spans="1:9" ht="25.5" customHeight="1" x14ac:dyDescent="0.2">
      <c r="A171" s="96" t="s">
        <v>302</v>
      </c>
      <c r="B171" s="243" t="s">
        <v>303</v>
      </c>
      <c r="C171" s="244"/>
      <c r="D171" s="243"/>
      <c r="E171" s="245"/>
      <c r="F171" s="245"/>
      <c r="G171" s="244"/>
      <c r="H171" s="83"/>
      <c r="I171" s="84">
        <f>ROUND(($I$164),2)</f>
        <v>223077.89</v>
      </c>
    </row>
    <row r="172" spans="1:9" ht="25.5" customHeight="1" x14ac:dyDescent="0.2">
      <c r="A172" s="65" t="s">
        <v>304</v>
      </c>
      <c r="B172" s="228" t="s">
        <v>305</v>
      </c>
      <c r="C172" s="229"/>
      <c r="D172" s="228"/>
      <c r="E172" s="230"/>
      <c r="F172" s="230"/>
      <c r="G172" s="229"/>
      <c r="H172" s="66"/>
      <c r="I172" s="70">
        <f>ROUND(($I$171),2)</f>
        <v>223077.89</v>
      </c>
    </row>
    <row r="173" spans="1:9" ht="12.75" customHeight="1" x14ac:dyDescent="0.2">
      <c r="A173" s="65" t="s">
        <v>26</v>
      </c>
      <c r="B173" s="228" t="s">
        <v>213</v>
      </c>
      <c r="C173" s="229"/>
      <c r="D173" s="228"/>
      <c r="E173" s="230"/>
      <c r="F173" s="230"/>
      <c r="G173" s="229"/>
      <c r="H173" s="66"/>
      <c r="I173" s="70">
        <f>ROUND(($I$34 + $I$114 + $I$139 + $I$162 + $I$172),2)</f>
        <v>2101714.9500000002</v>
      </c>
    </row>
    <row r="174" spans="1:9" ht="12.75" customHeight="1" x14ac:dyDescent="0.2">
      <c r="A174" s="65" t="s">
        <v>27</v>
      </c>
      <c r="B174" s="228" t="s">
        <v>214</v>
      </c>
      <c r="C174" s="229"/>
      <c r="D174" s="228"/>
      <c r="E174" s="230"/>
      <c r="F174" s="230"/>
      <c r="G174" s="229"/>
      <c r="H174" s="66"/>
      <c r="I174" s="70">
        <f>ROUND(($I$173),2)</f>
        <v>2101714.9500000002</v>
      </c>
    </row>
    <row r="175" spans="1:9" ht="12.75" customHeight="1" x14ac:dyDescent="0.2"/>
    <row r="176" spans="1:9" s="93" customFormat="1" ht="24.95" customHeight="1" x14ac:dyDescent="0.25">
      <c r="A176" s="189" t="s">
        <v>215</v>
      </c>
      <c r="B176" s="189"/>
      <c r="C176" s="189"/>
      <c r="D176" s="189"/>
      <c r="E176" s="189"/>
      <c r="F176" s="189"/>
      <c r="G176" s="189"/>
      <c r="H176" s="189"/>
      <c r="I176" s="189"/>
    </row>
    <row r="177" spans="4:4" ht="12.75" customHeight="1" x14ac:dyDescent="0.2">
      <c r="D177" s="95"/>
    </row>
  </sheetData>
  <mergeCells count="337">
    <mergeCell ref="B174:C174"/>
    <mergeCell ref="D174:G174"/>
    <mergeCell ref="A176:C176"/>
    <mergeCell ref="D176:I176"/>
    <mergeCell ref="B171:C171"/>
    <mergeCell ref="D171:G171"/>
    <mergeCell ref="B172:C172"/>
    <mergeCell ref="D172:G172"/>
    <mergeCell ref="B173:C173"/>
    <mergeCell ref="D173:G173"/>
    <mergeCell ref="B168:C168"/>
    <mergeCell ref="D168:G168"/>
    <mergeCell ref="B169:C169"/>
    <mergeCell ref="D169:G169"/>
    <mergeCell ref="B170:C170"/>
    <mergeCell ref="D170:G170"/>
    <mergeCell ref="B165:C165"/>
    <mergeCell ref="D165:G165"/>
    <mergeCell ref="B166:C166"/>
    <mergeCell ref="D166:G166"/>
    <mergeCell ref="B167:C167"/>
    <mergeCell ref="D167:G167"/>
    <mergeCell ref="B162:C162"/>
    <mergeCell ref="D162:G162"/>
    <mergeCell ref="B163:C163"/>
    <mergeCell ref="D163:G163"/>
    <mergeCell ref="B164:C164"/>
    <mergeCell ref="D164:G164"/>
    <mergeCell ref="B159:C159"/>
    <mergeCell ref="D159:G159"/>
    <mergeCell ref="B160:C160"/>
    <mergeCell ref="D160:G160"/>
    <mergeCell ref="B161:C161"/>
    <mergeCell ref="D161:G161"/>
    <mergeCell ref="B156:C156"/>
    <mergeCell ref="D156:G156"/>
    <mergeCell ref="B157:C157"/>
    <mergeCell ref="D157:G157"/>
    <mergeCell ref="B158:C158"/>
    <mergeCell ref="D158:G158"/>
    <mergeCell ref="B153:C153"/>
    <mergeCell ref="D153:G153"/>
    <mergeCell ref="B154:C154"/>
    <mergeCell ref="D154:G154"/>
    <mergeCell ref="B155:C155"/>
    <mergeCell ref="D155:G155"/>
    <mergeCell ref="B150:C150"/>
    <mergeCell ref="D150:G150"/>
    <mergeCell ref="B151:C151"/>
    <mergeCell ref="D151:G151"/>
    <mergeCell ref="B152:C152"/>
    <mergeCell ref="D152:G152"/>
    <mergeCell ref="B147:C147"/>
    <mergeCell ref="D147:G147"/>
    <mergeCell ref="B148:C148"/>
    <mergeCell ref="D148:G148"/>
    <mergeCell ref="B149:C149"/>
    <mergeCell ref="D149:G149"/>
    <mergeCell ref="B144:C144"/>
    <mergeCell ref="D144:G144"/>
    <mergeCell ref="B145:C145"/>
    <mergeCell ref="D145:G145"/>
    <mergeCell ref="B146:C146"/>
    <mergeCell ref="D146:G146"/>
    <mergeCell ref="B141:C141"/>
    <mergeCell ref="D141:G141"/>
    <mergeCell ref="B142:C142"/>
    <mergeCell ref="D142:G142"/>
    <mergeCell ref="B143:C143"/>
    <mergeCell ref="D143:G143"/>
    <mergeCell ref="B138:C138"/>
    <mergeCell ref="D138:G138"/>
    <mergeCell ref="B139:C139"/>
    <mergeCell ref="D139:G139"/>
    <mergeCell ref="B140:C140"/>
    <mergeCell ref="D140:G140"/>
    <mergeCell ref="B135:C135"/>
    <mergeCell ref="D135:G135"/>
    <mergeCell ref="B136:C136"/>
    <mergeCell ref="D136:G136"/>
    <mergeCell ref="B137:C137"/>
    <mergeCell ref="D137:G137"/>
    <mergeCell ref="B132:C132"/>
    <mergeCell ref="D132:G132"/>
    <mergeCell ref="B133:C133"/>
    <mergeCell ref="D133:G133"/>
    <mergeCell ref="B134:C134"/>
    <mergeCell ref="D134:G134"/>
    <mergeCell ref="B129:C129"/>
    <mergeCell ref="D129:G129"/>
    <mergeCell ref="B130:C130"/>
    <mergeCell ref="D130:G130"/>
    <mergeCell ref="B131:C131"/>
    <mergeCell ref="D131:G131"/>
    <mergeCell ref="B126:C126"/>
    <mergeCell ref="D126:G126"/>
    <mergeCell ref="B127:C127"/>
    <mergeCell ref="D127:G127"/>
    <mergeCell ref="B128:C128"/>
    <mergeCell ref="D128:G128"/>
    <mergeCell ref="B123:C123"/>
    <mergeCell ref="D123:G123"/>
    <mergeCell ref="B124:C124"/>
    <mergeCell ref="D124:G124"/>
    <mergeCell ref="B125:C125"/>
    <mergeCell ref="D125:G125"/>
    <mergeCell ref="B120:C120"/>
    <mergeCell ref="D120:G120"/>
    <mergeCell ref="B121:C121"/>
    <mergeCell ref="D121:G121"/>
    <mergeCell ref="B122:C122"/>
    <mergeCell ref="D122:G122"/>
    <mergeCell ref="H116:H117"/>
    <mergeCell ref="I116:I117"/>
    <mergeCell ref="B118:C118"/>
    <mergeCell ref="D118:G118"/>
    <mergeCell ref="B119:C119"/>
    <mergeCell ref="D119:G119"/>
    <mergeCell ref="B114:C114"/>
    <mergeCell ref="D114:G114"/>
    <mergeCell ref="B115:C115"/>
    <mergeCell ref="D115:G115"/>
    <mergeCell ref="A116:A117"/>
    <mergeCell ref="B116:C117"/>
    <mergeCell ref="D116:G117"/>
    <mergeCell ref="B111:C111"/>
    <mergeCell ref="D111:G111"/>
    <mergeCell ref="B112:C112"/>
    <mergeCell ref="D112:G112"/>
    <mergeCell ref="B113:C113"/>
    <mergeCell ref="D113:G113"/>
    <mergeCell ref="B108:C108"/>
    <mergeCell ref="D108:G108"/>
    <mergeCell ref="B109:C109"/>
    <mergeCell ref="D109:G109"/>
    <mergeCell ref="B110:C110"/>
    <mergeCell ref="D110:G110"/>
    <mergeCell ref="B105:C105"/>
    <mergeCell ref="D105:G105"/>
    <mergeCell ref="B106:C106"/>
    <mergeCell ref="D106:G106"/>
    <mergeCell ref="B107:C107"/>
    <mergeCell ref="D107:G107"/>
    <mergeCell ref="B102:C102"/>
    <mergeCell ref="D102:G102"/>
    <mergeCell ref="B103:C103"/>
    <mergeCell ref="D103:G103"/>
    <mergeCell ref="B104:C104"/>
    <mergeCell ref="D104:G104"/>
    <mergeCell ref="B99:C99"/>
    <mergeCell ref="D99:G99"/>
    <mergeCell ref="B100:C100"/>
    <mergeCell ref="D100:G100"/>
    <mergeCell ref="B101:C101"/>
    <mergeCell ref="D101:G101"/>
    <mergeCell ref="B96:C96"/>
    <mergeCell ref="D96:G96"/>
    <mergeCell ref="B97:C97"/>
    <mergeCell ref="D97:G97"/>
    <mergeCell ref="B98:C98"/>
    <mergeCell ref="D98:G98"/>
    <mergeCell ref="B93:C93"/>
    <mergeCell ref="D93:G93"/>
    <mergeCell ref="B94:C94"/>
    <mergeCell ref="D94:G94"/>
    <mergeCell ref="B95:C95"/>
    <mergeCell ref="D95:G95"/>
    <mergeCell ref="B90:C90"/>
    <mergeCell ref="D90:G90"/>
    <mergeCell ref="B91:C91"/>
    <mergeCell ref="D91:G91"/>
    <mergeCell ref="B92:C92"/>
    <mergeCell ref="D92:G92"/>
    <mergeCell ref="B87:C87"/>
    <mergeCell ref="D87:G87"/>
    <mergeCell ref="B88:C88"/>
    <mergeCell ref="D88:G88"/>
    <mergeCell ref="B89:C89"/>
    <mergeCell ref="D89:G89"/>
    <mergeCell ref="B84:C84"/>
    <mergeCell ref="D84:G84"/>
    <mergeCell ref="B85:C85"/>
    <mergeCell ref="D85:G85"/>
    <mergeCell ref="B86:C86"/>
    <mergeCell ref="D86:G86"/>
    <mergeCell ref="B81:C81"/>
    <mergeCell ref="D81:G81"/>
    <mergeCell ref="B82:C82"/>
    <mergeCell ref="D82:G82"/>
    <mergeCell ref="B83:C83"/>
    <mergeCell ref="D83:G83"/>
    <mergeCell ref="B78:C78"/>
    <mergeCell ref="D78:G78"/>
    <mergeCell ref="B79:C79"/>
    <mergeCell ref="D79:G79"/>
    <mergeCell ref="B80:C80"/>
    <mergeCell ref="D80:G80"/>
    <mergeCell ref="B75:C75"/>
    <mergeCell ref="D75:G75"/>
    <mergeCell ref="B76:C76"/>
    <mergeCell ref="D76:G76"/>
    <mergeCell ref="B77:C77"/>
    <mergeCell ref="D77:G77"/>
    <mergeCell ref="B72:C72"/>
    <mergeCell ref="D72:G72"/>
    <mergeCell ref="B73:C73"/>
    <mergeCell ref="D73:G73"/>
    <mergeCell ref="B74:C74"/>
    <mergeCell ref="D74:G74"/>
    <mergeCell ref="B69:C69"/>
    <mergeCell ref="D69:G69"/>
    <mergeCell ref="B70:C70"/>
    <mergeCell ref="D70:G70"/>
    <mergeCell ref="B71:C71"/>
    <mergeCell ref="D71:G71"/>
    <mergeCell ref="B66:C66"/>
    <mergeCell ref="D66:G66"/>
    <mergeCell ref="B67:C67"/>
    <mergeCell ref="D67:G67"/>
    <mergeCell ref="B68:C68"/>
    <mergeCell ref="D68:G68"/>
    <mergeCell ref="B63:C63"/>
    <mergeCell ref="D63:G63"/>
    <mergeCell ref="B64:C64"/>
    <mergeCell ref="D64:G64"/>
    <mergeCell ref="B65:C65"/>
    <mergeCell ref="D65:G65"/>
    <mergeCell ref="B60:C60"/>
    <mergeCell ref="D60:G60"/>
    <mergeCell ref="B61:C61"/>
    <mergeCell ref="D61:G61"/>
    <mergeCell ref="B62:C62"/>
    <mergeCell ref="D62:G62"/>
    <mergeCell ref="B57:C57"/>
    <mergeCell ref="D57:G57"/>
    <mergeCell ref="B58:C58"/>
    <mergeCell ref="D58:G58"/>
    <mergeCell ref="B59:C59"/>
    <mergeCell ref="D59:G59"/>
    <mergeCell ref="B54:C54"/>
    <mergeCell ref="D54:G54"/>
    <mergeCell ref="B55:C55"/>
    <mergeCell ref="D55:G55"/>
    <mergeCell ref="B56:C56"/>
    <mergeCell ref="D56:G56"/>
    <mergeCell ref="H50:H51"/>
    <mergeCell ref="I50:I51"/>
    <mergeCell ref="B52:C52"/>
    <mergeCell ref="D52:G52"/>
    <mergeCell ref="B53:C53"/>
    <mergeCell ref="D53:G53"/>
    <mergeCell ref="B48:C48"/>
    <mergeCell ref="D48:G48"/>
    <mergeCell ref="B49:C49"/>
    <mergeCell ref="D49:G49"/>
    <mergeCell ref="A50:A51"/>
    <mergeCell ref="B50:C51"/>
    <mergeCell ref="D50:G51"/>
    <mergeCell ref="B45:C45"/>
    <mergeCell ref="D45:G45"/>
    <mergeCell ref="B46:C46"/>
    <mergeCell ref="D46:G46"/>
    <mergeCell ref="B47:C47"/>
    <mergeCell ref="D47:G47"/>
    <mergeCell ref="B42:C42"/>
    <mergeCell ref="D42:G42"/>
    <mergeCell ref="B43:C43"/>
    <mergeCell ref="D43:G43"/>
    <mergeCell ref="B44:C44"/>
    <mergeCell ref="D44:G44"/>
    <mergeCell ref="B39:C39"/>
    <mergeCell ref="D39:G39"/>
    <mergeCell ref="B40:C40"/>
    <mergeCell ref="D40:G40"/>
    <mergeCell ref="B41:C41"/>
    <mergeCell ref="D41:G41"/>
    <mergeCell ref="B36:C36"/>
    <mergeCell ref="D36:G36"/>
    <mergeCell ref="B37:C37"/>
    <mergeCell ref="D37:G37"/>
    <mergeCell ref="B38:C38"/>
    <mergeCell ref="D38:G38"/>
    <mergeCell ref="B33:C33"/>
    <mergeCell ref="D33:G33"/>
    <mergeCell ref="B34:C34"/>
    <mergeCell ref="D34:G34"/>
    <mergeCell ref="B35:C35"/>
    <mergeCell ref="D35:G35"/>
    <mergeCell ref="B30:C30"/>
    <mergeCell ref="D30:G30"/>
    <mergeCell ref="B31:C31"/>
    <mergeCell ref="D31:G31"/>
    <mergeCell ref="B32:C32"/>
    <mergeCell ref="D32:G32"/>
    <mergeCell ref="B27:C27"/>
    <mergeCell ref="D27:G27"/>
    <mergeCell ref="B28:C28"/>
    <mergeCell ref="D28:G28"/>
    <mergeCell ref="B29:C29"/>
    <mergeCell ref="D29:G29"/>
    <mergeCell ref="B24:C24"/>
    <mergeCell ref="D24:G24"/>
    <mergeCell ref="B25:C25"/>
    <mergeCell ref="D25:G25"/>
    <mergeCell ref="B26:C26"/>
    <mergeCell ref="D26:G26"/>
    <mergeCell ref="B21:C21"/>
    <mergeCell ref="D21:G21"/>
    <mergeCell ref="B22:C22"/>
    <mergeCell ref="D22:G22"/>
    <mergeCell ref="B23:C23"/>
    <mergeCell ref="D23:G23"/>
    <mergeCell ref="B18:C18"/>
    <mergeCell ref="D18:G18"/>
    <mergeCell ref="B19:C19"/>
    <mergeCell ref="D19:G19"/>
    <mergeCell ref="B20:C20"/>
    <mergeCell ref="D20:G20"/>
    <mergeCell ref="A14:I14"/>
    <mergeCell ref="B15:C15"/>
    <mergeCell ref="D15:G15"/>
    <mergeCell ref="B16:C16"/>
    <mergeCell ref="D16:G16"/>
    <mergeCell ref="B17:C17"/>
    <mergeCell ref="D17:G17"/>
    <mergeCell ref="A8:C8"/>
    <mergeCell ref="D8:I8"/>
    <mergeCell ref="A10:C10"/>
    <mergeCell ref="D10:I10"/>
    <mergeCell ref="A12:C12"/>
    <mergeCell ref="D12:I12"/>
    <mergeCell ref="A1:C1"/>
    <mergeCell ref="D1:I1"/>
    <mergeCell ref="A3:I3"/>
    <mergeCell ref="A4:I4"/>
    <mergeCell ref="A6:C6"/>
    <mergeCell ref="D6:I6"/>
  </mergeCells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13C84-B77E-46FD-91F6-23F2F3F27B22}">
  <dimension ref="A1:M79"/>
  <sheetViews>
    <sheetView zoomScaleNormal="100" workbookViewId="0">
      <selection activeCell="U9" sqref="U9"/>
    </sheetView>
  </sheetViews>
  <sheetFormatPr defaultRowHeight="15.75" x14ac:dyDescent="0.3"/>
  <cols>
    <col min="1" max="1" width="3.7109375" style="112" customWidth="1"/>
    <col min="2" max="2" width="13.28515625" style="112" customWidth="1"/>
    <col min="3" max="3" width="9.140625" style="112" customWidth="1"/>
    <col min="4" max="4" width="6.28515625" style="112" customWidth="1"/>
    <col min="5" max="5" width="10" style="112" bestFit="1" customWidth="1"/>
    <col min="6" max="6" width="12.140625" style="112" customWidth="1"/>
    <col min="7" max="7" width="14.5703125" style="112" customWidth="1"/>
    <col min="8" max="8" width="11.140625" style="112" customWidth="1"/>
    <col min="9" max="9" width="12" style="112" customWidth="1"/>
    <col min="10" max="10" width="15.140625" style="112" customWidth="1"/>
    <col min="11" max="11" width="10.85546875" style="112" customWidth="1"/>
    <col min="12" max="12" width="11.42578125" style="112" customWidth="1"/>
    <col min="13" max="13" width="3.7109375" style="112" customWidth="1"/>
    <col min="14" max="16384" width="9.140625" style="112"/>
  </cols>
  <sheetData>
    <row r="1" spans="1:13" ht="12.75" customHeight="1" x14ac:dyDescent="0.3">
      <c r="A1" s="308" t="s">
        <v>856</v>
      </c>
      <c r="B1" s="309"/>
      <c r="C1" s="309"/>
      <c r="D1" s="310" t="s">
        <v>857</v>
      </c>
      <c r="E1" s="310"/>
      <c r="F1" s="310"/>
      <c r="G1" s="310"/>
      <c r="H1" s="310"/>
      <c r="I1" s="310"/>
      <c r="J1" s="310"/>
      <c r="K1" s="310"/>
      <c r="L1" s="310"/>
    </row>
    <row r="2" spans="1:13" x14ac:dyDescent="0.3">
      <c r="A2" s="113"/>
      <c r="B2" s="311" t="s">
        <v>1137</v>
      </c>
      <c r="C2" s="311"/>
      <c r="D2" s="311"/>
      <c r="E2" s="311"/>
      <c r="F2" s="311"/>
      <c r="G2" s="311"/>
      <c r="H2" s="311"/>
      <c r="I2" s="311"/>
      <c r="J2" s="311"/>
      <c r="K2" s="311"/>
      <c r="L2" s="114"/>
    </row>
    <row r="3" spans="1:13" x14ac:dyDescent="0.3">
      <c r="A3" s="113"/>
      <c r="B3" s="312" t="s">
        <v>858</v>
      </c>
      <c r="C3" s="312"/>
      <c r="D3" s="312"/>
      <c r="E3" s="312"/>
      <c r="F3" s="312"/>
      <c r="G3" s="312"/>
      <c r="H3" s="312"/>
      <c r="I3" s="312"/>
      <c r="J3" s="312"/>
      <c r="K3" s="312"/>
      <c r="L3" s="114"/>
    </row>
    <row r="4" spans="1:13" ht="14.25" customHeight="1" x14ac:dyDescent="0.3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4"/>
    </row>
    <row r="5" spans="1:13" ht="3.75" customHeight="1" x14ac:dyDescent="0.3">
      <c r="A5" s="313"/>
      <c r="B5" s="313"/>
      <c r="C5" s="313"/>
      <c r="D5" s="313"/>
      <c r="E5" s="314"/>
      <c r="F5" s="314"/>
      <c r="G5" s="314"/>
      <c r="H5" s="314"/>
      <c r="I5" s="314"/>
      <c r="J5" s="314"/>
      <c r="K5" s="314"/>
      <c r="L5" s="114"/>
    </row>
    <row r="6" spans="1:13" ht="18.75" customHeight="1" x14ac:dyDescent="0.3">
      <c r="A6" s="113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4"/>
    </row>
    <row r="7" spans="1:13" ht="51" customHeight="1" x14ac:dyDescent="0.3">
      <c r="A7" s="313" t="s">
        <v>859</v>
      </c>
      <c r="B7" s="313"/>
      <c r="C7" s="313"/>
      <c r="D7" s="313"/>
      <c r="E7" s="313" t="s">
        <v>87</v>
      </c>
      <c r="F7" s="313"/>
      <c r="G7" s="313"/>
      <c r="H7" s="313"/>
      <c r="I7" s="313"/>
      <c r="J7" s="313"/>
      <c r="K7" s="313"/>
      <c r="L7" s="114"/>
    </row>
    <row r="8" spans="1:13" ht="12.75" customHeight="1" x14ac:dyDescent="0.3">
      <c r="A8" s="332" t="s">
        <v>218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114"/>
    </row>
    <row r="9" spans="1:13" ht="112.5" customHeight="1" x14ac:dyDescent="0.3">
      <c r="A9" s="115" t="s">
        <v>860</v>
      </c>
      <c r="B9" s="115" t="s">
        <v>861</v>
      </c>
      <c r="C9" s="316" t="s">
        <v>862</v>
      </c>
      <c r="D9" s="333"/>
      <c r="E9" s="317"/>
      <c r="F9" s="115" t="s">
        <v>863</v>
      </c>
      <c r="G9" s="115" t="s">
        <v>864</v>
      </c>
      <c r="H9" s="115" t="s">
        <v>865</v>
      </c>
      <c r="I9" s="115" t="s">
        <v>866</v>
      </c>
      <c r="J9" s="116" t="s">
        <v>867</v>
      </c>
      <c r="K9" s="115" t="s">
        <v>868</v>
      </c>
      <c r="L9" s="115" t="s">
        <v>869</v>
      </c>
    </row>
    <row r="10" spans="1:13" ht="12.75" customHeight="1" x14ac:dyDescent="0.3">
      <c r="A10" s="117">
        <v>1</v>
      </c>
      <c r="B10" s="117">
        <v>2</v>
      </c>
      <c r="C10" s="318">
        <v>3</v>
      </c>
      <c r="D10" s="334"/>
      <c r="E10" s="319"/>
      <c r="F10" s="117">
        <v>4</v>
      </c>
      <c r="G10" s="117">
        <v>5</v>
      </c>
      <c r="H10" s="117">
        <v>6</v>
      </c>
      <c r="I10" s="117">
        <v>7</v>
      </c>
      <c r="J10" s="117">
        <v>8</v>
      </c>
      <c r="K10" s="117">
        <v>9</v>
      </c>
      <c r="L10" s="117">
        <v>10</v>
      </c>
      <c r="M10" s="114"/>
    </row>
    <row r="11" spans="1:13" ht="63.75" customHeight="1" x14ac:dyDescent="0.3">
      <c r="A11" s="320">
        <v>1</v>
      </c>
      <c r="B11" s="322" t="s">
        <v>870</v>
      </c>
      <c r="C11" s="318" t="s">
        <v>871</v>
      </c>
      <c r="D11" s="334"/>
      <c r="E11" s="118">
        <v>9191501.75</v>
      </c>
      <c r="F11" s="117">
        <v>4.75</v>
      </c>
      <c r="G11" s="324">
        <v>2842120</v>
      </c>
      <c r="H11" s="320">
        <v>11.88</v>
      </c>
      <c r="I11" s="320">
        <v>5.71</v>
      </c>
      <c r="J11" s="320">
        <v>1</v>
      </c>
      <c r="K11" s="320" t="s">
        <v>1136</v>
      </c>
      <c r="L11" s="320"/>
      <c r="M11" s="114"/>
    </row>
    <row r="12" spans="1:13" ht="25.5" customHeight="1" x14ac:dyDescent="0.3">
      <c r="A12" s="321"/>
      <c r="B12" s="323"/>
      <c r="C12" s="318" t="s">
        <v>872</v>
      </c>
      <c r="D12" s="334"/>
      <c r="E12" s="118">
        <v>4372061.6500000004</v>
      </c>
      <c r="F12" s="117">
        <v>4.82</v>
      </c>
      <c r="G12" s="325"/>
      <c r="H12" s="321"/>
      <c r="I12" s="321"/>
      <c r="J12" s="321"/>
      <c r="K12" s="321"/>
      <c r="L12" s="321"/>
      <c r="M12" s="114"/>
    </row>
    <row r="13" spans="1:13" ht="12.75" customHeight="1" x14ac:dyDescent="0.3">
      <c r="A13" s="115">
        <v>2</v>
      </c>
      <c r="B13" s="119" t="s">
        <v>848</v>
      </c>
      <c r="C13" s="316"/>
      <c r="D13" s="333"/>
      <c r="E13" s="326"/>
      <c r="F13" s="115"/>
      <c r="G13" s="120"/>
      <c r="H13" s="115"/>
      <c r="I13" s="115"/>
      <c r="J13" s="115"/>
      <c r="K13" s="117" t="s">
        <v>1136</v>
      </c>
      <c r="L13" s="117"/>
    </row>
    <row r="14" spans="1:13" ht="12.75" customHeight="1" x14ac:dyDescent="0.3">
      <c r="A14" s="175"/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14"/>
    </row>
    <row r="15" spans="1:13" ht="14.25" customHeight="1" x14ac:dyDescent="0.3">
      <c r="A15" s="315" t="s">
        <v>873</v>
      </c>
      <c r="B15" s="315"/>
      <c r="C15" s="315"/>
      <c r="D15" s="315"/>
      <c r="E15" s="315"/>
      <c r="F15" s="315"/>
      <c r="G15" s="315"/>
      <c r="H15" s="315"/>
      <c r="I15" s="121"/>
      <c r="J15" s="121"/>
      <c r="K15" s="114"/>
      <c r="L15" s="114"/>
    </row>
    <row r="16" spans="1:13" ht="31.5" customHeight="1" x14ac:dyDescent="0.3">
      <c r="A16" s="315" t="s">
        <v>874</v>
      </c>
      <c r="B16" s="315"/>
      <c r="C16" s="315"/>
      <c r="D16" s="315"/>
      <c r="E16" s="315"/>
      <c r="F16" s="315"/>
      <c r="G16" s="315"/>
      <c r="H16" s="315"/>
      <c r="I16" s="113"/>
      <c r="J16" s="113"/>
      <c r="K16" s="113"/>
      <c r="L16" s="114"/>
    </row>
    <row r="17" spans="1:12" ht="27.75" customHeight="1" x14ac:dyDescent="0.3">
      <c r="A17" s="113"/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4"/>
    </row>
    <row r="18" spans="1:12" ht="17.25" customHeight="1" x14ac:dyDescent="0.3">
      <c r="A18" s="122"/>
      <c r="B18" s="122"/>
      <c r="C18" s="122"/>
      <c r="D18" s="122"/>
      <c r="E18" s="122"/>
      <c r="F18" s="122"/>
      <c r="G18" s="122"/>
      <c r="H18" s="122"/>
      <c r="I18" s="114"/>
      <c r="J18" s="114"/>
      <c r="K18" s="114"/>
      <c r="L18" s="114"/>
    </row>
    <row r="19" spans="1:12" ht="15.75" customHeight="1" x14ac:dyDescent="0.3">
      <c r="A19" s="315" t="s">
        <v>875</v>
      </c>
      <c r="B19" s="315"/>
      <c r="C19" s="315"/>
      <c r="D19" s="315"/>
      <c r="E19" s="330"/>
      <c r="F19" s="330"/>
      <c r="G19" s="330"/>
      <c r="H19" s="330"/>
      <c r="I19" s="330"/>
      <c r="J19" s="330"/>
      <c r="K19" s="330"/>
      <c r="L19" s="114"/>
    </row>
    <row r="20" spans="1:12" x14ac:dyDescent="0.3">
      <c r="A20" s="122"/>
      <c r="B20" s="122"/>
      <c r="C20" s="122"/>
      <c r="D20" s="122"/>
      <c r="E20" s="331" t="s">
        <v>876</v>
      </c>
      <c r="F20" s="331"/>
      <c r="G20" s="331"/>
      <c r="H20" s="331"/>
      <c r="I20" s="331"/>
      <c r="J20" s="331"/>
      <c r="K20" s="331"/>
      <c r="L20" s="114"/>
    </row>
    <row r="21" spans="1:12" ht="12.75" customHeight="1" x14ac:dyDescent="0.3">
      <c r="A21" s="114"/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</row>
    <row r="22" spans="1:12" ht="15" customHeight="1" x14ac:dyDescent="0.3">
      <c r="A22" s="328" t="s">
        <v>877</v>
      </c>
      <c r="B22" s="328"/>
      <c r="C22" s="328"/>
      <c r="D22" s="328"/>
      <c r="E22" s="329"/>
      <c r="F22" s="329"/>
      <c r="G22" s="329"/>
      <c r="H22" s="329"/>
      <c r="I22" s="329"/>
      <c r="J22" s="329"/>
      <c r="K22" s="329"/>
      <c r="L22" s="114"/>
    </row>
    <row r="23" spans="1:12" ht="18" customHeight="1" x14ac:dyDescent="0.3">
      <c r="A23" s="114"/>
      <c r="B23" s="114"/>
      <c r="C23" s="114"/>
      <c r="D23" s="114"/>
      <c r="E23" s="327" t="s">
        <v>876</v>
      </c>
      <c r="F23" s="327"/>
      <c r="G23" s="327"/>
      <c r="H23" s="327"/>
      <c r="I23" s="327"/>
      <c r="J23" s="327"/>
      <c r="K23" s="327"/>
      <c r="L23" s="114"/>
    </row>
    <row r="24" spans="1:12" x14ac:dyDescent="0.3">
      <c r="A24" s="114"/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</row>
    <row r="25" spans="1:12" ht="17.25" customHeight="1" x14ac:dyDescent="0.3">
      <c r="A25" s="123" t="s">
        <v>878</v>
      </c>
      <c r="B25" s="123"/>
      <c r="C25" s="123"/>
      <c r="D25" s="123"/>
      <c r="E25" s="113"/>
      <c r="F25" s="113"/>
      <c r="G25" s="113"/>
      <c r="H25" s="113"/>
      <c r="I25" s="113"/>
      <c r="J25" s="113"/>
      <c r="K25" s="113"/>
      <c r="L25" s="114"/>
    </row>
    <row r="26" spans="1:12" x14ac:dyDescent="0.3">
      <c r="A26" s="113"/>
      <c r="B26" s="113"/>
      <c r="C26" s="113"/>
      <c r="D26" s="113"/>
      <c r="E26" s="113"/>
      <c r="F26" s="113"/>
      <c r="G26" s="113"/>
      <c r="H26" s="113"/>
      <c r="I26" s="113"/>
      <c r="J26" s="113"/>
      <c r="K26" s="114"/>
      <c r="L26" s="114"/>
    </row>
    <row r="27" spans="1:12" ht="17.25" customHeight="1" x14ac:dyDescent="0.3">
      <c r="A27" s="328" t="s">
        <v>879</v>
      </c>
      <c r="B27" s="328"/>
      <c r="C27" s="328"/>
      <c r="D27" s="328"/>
      <c r="E27" s="329"/>
      <c r="F27" s="329"/>
      <c r="G27" s="329"/>
      <c r="H27" s="329"/>
      <c r="I27" s="329"/>
      <c r="J27" s="329"/>
      <c r="K27" s="329"/>
      <c r="L27" s="114"/>
    </row>
    <row r="28" spans="1:12" ht="15" customHeight="1" x14ac:dyDescent="0.3">
      <c r="A28" s="114"/>
      <c r="B28" s="114"/>
      <c r="C28" s="114"/>
      <c r="D28" s="114"/>
      <c r="E28" s="327" t="s">
        <v>876</v>
      </c>
      <c r="F28" s="327"/>
      <c r="G28" s="327"/>
      <c r="H28" s="327"/>
      <c r="I28" s="327"/>
      <c r="J28" s="327"/>
      <c r="K28" s="327"/>
      <c r="L28" s="124"/>
    </row>
    <row r="29" spans="1:12" x14ac:dyDescent="0.3">
      <c r="L29" s="114"/>
    </row>
    <row r="30" spans="1:12" x14ac:dyDescent="0.3">
      <c r="L30" s="114"/>
    </row>
    <row r="31" spans="1:12" ht="15.75" customHeight="1" x14ac:dyDescent="0.3">
      <c r="L31" s="114"/>
    </row>
    <row r="32" spans="1:12" ht="16.5" customHeight="1" x14ac:dyDescent="0.3">
      <c r="L32" s="114"/>
    </row>
    <row r="33" spans="1:12" ht="13.5" customHeight="1" x14ac:dyDescent="0.3"/>
    <row r="34" spans="1:12" ht="15" customHeight="1" x14ac:dyDescent="0.3"/>
    <row r="35" spans="1:12" ht="15.75" customHeight="1" x14ac:dyDescent="0.3"/>
    <row r="37" spans="1:12" ht="15.75" customHeight="1" x14ac:dyDescent="0.3"/>
    <row r="40" spans="1:12" x14ac:dyDescent="0.3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14"/>
    </row>
    <row r="41" spans="1:12" x14ac:dyDescent="0.3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14"/>
    </row>
    <row r="42" spans="1:12" x14ac:dyDescent="0.3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14"/>
    </row>
    <row r="43" spans="1:12" x14ac:dyDescent="0.3">
      <c r="A43" s="114"/>
      <c r="B43" s="125"/>
      <c r="C43" s="125"/>
      <c r="D43" s="125"/>
      <c r="E43" s="125"/>
      <c r="F43" s="125"/>
      <c r="G43" s="126"/>
      <c r="H43" s="126"/>
      <c r="I43" s="126"/>
      <c r="J43" s="126"/>
      <c r="K43" s="114"/>
      <c r="L43" s="114"/>
    </row>
    <row r="44" spans="1:12" x14ac:dyDescent="0.3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</row>
    <row r="45" spans="1:12" x14ac:dyDescent="0.3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</row>
    <row r="46" spans="1:12" x14ac:dyDescent="0.3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  <c r="L46" s="114"/>
    </row>
    <row r="47" spans="1:12" x14ac:dyDescent="0.3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</row>
    <row r="48" spans="1:12" x14ac:dyDescent="0.3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  <c r="L48" s="114"/>
    </row>
    <row r="49" spans="1:12" x14ac:dyDescent="0.3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</row>
    <row r="50" spans="1:12" x14ac:dyDescent="0.3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</row>
    <row r="51" spans="1:12" x14ac:dyDescent="0.3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  <c r="L51" s="114"/>
    </row>
    <row r="52" spans="1:12" x14ac:dyDescent="0.3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</row>
    <row r="53" spans="1:12" x14ac:dyDescent="0.3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</row>
    <row r="54" spans="1:12" x14ac:dyDescent="0.3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</row>
    <row r="55" spans="1:12" x14ac:dyDescent="0.3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</row>
    <row r="56" spans="1:12" x14ac:dyDescent="0.3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</row>
    <row r="57" spans="1:12" x14ac:dyDescent="0.3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  <c r="L57" s="114"/>
    </row>
    <row r="58" spans="1:12" x14ac:dyDescent="0.3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  <c r="L58" s="114"/>
    </row>
    <row r="59" spans="1:12" x14ac:dyDescent="0.3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  <c r="L59" s="114"/>
    </row>
    <row r="60" spans="1:12" x14ac:dyDescent="0.3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</row>
    <row r="61" spans="1:12" x14ac:dyDescent="0.3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</row>
    <row r="62" spans="1:12" x14ac:dyDescent="0.3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  <c r="L62" s="114"/>
    </row>
    <row r="63" spans="1:12" x14ac:dyDescent="0.3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  <c r="L63" s="114"/>
    </row>
    <row r="64" spans="1:12" x14ac:dyDescent="0.3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</row>
    <row r="65" spans="1:12" x14ac:dyDescent="0.3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  <c r="L65" s="114"/>
    </row>
    <row r="66" spans="1:12" x14ac:dyDescent="0.3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</row>
    <row r="67" spans="1:12" x14ac:dyDescent="0.3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  <c r="L67" s="114"/>
    </row>
    <row r="68" spans="1:12" x14ac:dyDescent="0.3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  <c r="L68" s="114"/>
    </row>
    <row r="69" spans="1:12" x14ac:dyDescent="0.3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  <c r="L69" s="114"/>
    </row>
    <row r="70" spans="1:12" x14ac:dyDescent="0.3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</row>
    <row r="71" spans="1:12" x14ac:dyDescent="0.3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  <c r="L71" s="114"/>
    </row>
    <row r="72" spans="1:12" x14ac:dyDescent="0.3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</row>
    <row r="73" spans="1:12" x14ac:dyDescent="0.3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</row>
    <row r="74" spans="1:12" x14ac:dyDescent="0.3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</row>
    <row r="75" spans="1:12" x14ac:dyDescent="0.3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</row>
    <row r="76" spans="1:12" x14ac:dyDescent="0.3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  <c r="L76" s="114"/>
    </row>
    <row r="77" spans="1:12" x14ac:dyDescent="0.3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  <c r="L77" s="114"/>
    </row>
    <row r="78" spans="1:12" x14ac:dyDescent="0.3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  <c r="L78" s="114"/>
    </row>
    <row r="79" spans="1:12" x14ac:dyDescent="0.3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  <c r="L79" s="114"/>
    </row>
  </sheetData>
  <mergeCells count="33">
    <mergeCell ref="E23:K23"/>
    <mergeCell ref="A27:D27"/>
    <mergeCell ref="E27:K27"/>
    <mergeCell ref="E28:K28"/>
    <mergeCell ref="A15:H15"/>
    <mergeCell ref="A16:H16"/>
    <mergeCell ref="A19:D19"/>
    <mergeCell ref="E19:K19"/>
    <mergeCell ref="E20:K20"/>
    <mergeCell ref="A22:D22"/>
    <mergeCell ref="E22:K22"/>
    <mergeCell ref="I11:I12"/>
    <mergeCell ref="J11:J12"/>
    <mergeCell ref="K11:K12"/>
    <mergeCell ref="L11:L12"/>
    <mergeCell ref="C12:D12"/>
    <mergeCell ref="C13:E13"/>
    <mergeCell ref="A7:D7"/>
    <mergeCell ref="E7:K7"/>
    <mergeCell ref="A8:K8"/>
    <mergeCell ref="C9:E9"/>
    <mergeCell ref="C10:E10"/>
    <mergeCell ref="A11:A12"/>
    <mergeCell ref="B11:B12"/>
    <mergeCell ref="C11:D11"/>
    <mergeCell ref="G11:G12"/>
    <mergeCell ref="H11:H12"/>
    <mergeCell ref="A1:C1"/>
    <mergeCell ref="D1:L1"/>
    <mergeCell ref="B2:K2"/>
    <mergeCell ref="B3:K3"/>
    <mergeCell ref="A5:D5"/>
    <mergeCell ref="E5:K5"/>
  </mergeCells>
  <pageMargins left="0.62992125984251968" right="0.43307086614173229" top="0.74803149606299213" bottom="0.74803149606299213" header="0.31496062992125984" footer="0.31496062992125984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29F24-9C3A-4097-B548-7A9900E3647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327D6-4A91-4F56-B7B8-AA0504FE4048}">
  <dimension ref="A1:G55"/>
  <sheetViews>
    <sheetView topLeftCell="A7" workbookViewId="0">
      <selection activeCell="C55" sqref="C55:G55"/>
    </sheetView>
  </sheetViews>
  <sheetFormatPr defaultColWidth="11.5703125" defaultRowHeight="12.75" x14ac:dyDescent="0.2"/>
  <cols>
    <col min="1" max="1" width="3.7109375" style="107" customWidth="1"/>
    <col min="2" max="2" width="26.7109375" style="107" customWidth="1"/>
    <col min="3" max="3" width="7.7109375" style="107" customWidth="1"/>
    <col min="4" max="4" width="5" style="107" customWidth="1"/>
    <col min="5" max="5" width="27.7109375" style="107" customWidth="1"/>
    <col min="6" max="6" width="14.42578125" style="107" customWidth="1"/>
    <col min="7" max="7" width="11.5703125" style="107"/>
    <col min="8" max="16384" width="11.5703125" style="58"/>
  </cols>
  <sheetData>
    <row r="1" spans="1:7" ht="51.2" customHeight="1" x14ac:dyDescent="0.2">
      <c r="A1" s="190" t="s">
        <v>99</v>
      </c>
      <c r="B1" s="190"/>
      <c r="C1" s="192" t="s">
        <v>885</v>
      </c>
      <c r="D1" s="192"/>
      <c r="E1" s="192"/>
      <c r="F1" s="192"/>
      <c r="G1" s="192"/>
    </row>
    <row r="2" spans="1:7" x14ac:dyDescent="0.2">
      <c r="A2" s="59"/>
      <c r="B2" s="59"/>
      <c r="C2" s="60"/>
      <c r="D2" s="60"/>
      <c r="E2" s="60"/>
      <c r="F2" s="60"/>
      <c r="G2" s="60"/>
    </row>
    <row r="3" spans="1:7" x14ac:dyDescent="0.2">
      <c r="A3" s="59"/>
      <c r="B3" s="59"/>
      <c r="C3" s="60"/>
      <c r="D3" s="60"/>
      <c r="E3" s="60"/>
      <c r="F3" s="60"/>
      <c r="G3" s="60"/>
    </row>
    <row r="4" spans="1:7" x14ac:dyDescent="0.2">
      <c r="B4" s="193" t="s">
        <v>306</v>
      </c>
      <c r="C4" s="193"/>
      <c r="D4" s="193"/>
      <c r="E4" s="193"/>
      <c r="F4" s="193"/>
    </row>
    <row r="5" spans="1:7" x14ac:dyDescent="0.2">
      <c r="B5" s="194" t="s">
        <v>307</v>
      </c>
      <c r="C5" s="194"/>
      <c r="D5" s="194"/>
      <c r="E5" s="194"/>
      <c r="F5" s="194"/>
    </row>
    <row r="6" spans="1:7" x14ac:dyDescent="0.2">
      <c r="B6" s="61"/>
      <c r="C6" s="61"/>
      <c r="D6" s="61"/>
      <c r="E6" s="61"/>
      <c r="F6" s="61"/>
    </row>
    <row r="7" spans="1:7" ht="51" customHeight="1" x14ac:dyDescent="0.2">
      <c r="A7" s="189" t="s">
        <v>102</v>
      </c>
      <c r="B7" s="189"/>
      <c r="C7" s="189"/>
      <c r="D7" s="195" t="s">
        <v>87</v>
      </c>
      <c r="E7" s="195"/>
      <c r="F7" s="195"/>
      <c r="G7" s="195"/>
    </row>
    <row r="8" spans="1:7" x14ac:dyDescent="0.2">
      <c r="C8" s="62"/>
      <c r="D8" s="62"/>
      <c r="E8" s="62"/>
    </row>
    <row r="9" spans="1:7" ht="12.75" customHeight="1" x14ac:dyDescent="0.2">
      <c r="A9" s="189" t="s">
        <v>308</v>
      </c>
      <c r="B9" s="189"/>
      <c r="C9" s="189"/>
      <c r="D9" s="196" t="s">
        <v>75</v>
      </c>
      <c r="E9" s="196"/>
      <c r="F9" s="196"/>
      <c r="G9" s="196"/>
    </row>
    <row r="10" spans="1:7" x14ac:dyDescent="0.2">
      <c r="A10" s="63"/>
      <c r="B10" s="63"/>
      <c r="C10" s="94"/>
      <c r="D10" s="64"/>
      <c r="E10" s="64"/>
      <c r="F10" s="64"/>
      <c r="G10" s="64"/>
    </row>
    <row r="11" spans="1:7" x14ac:dyDescent="0.2">
      <c r="A11" s="189" t="s">
        <v>309</v>
      </c>
      <c r="B11" s="189"/>
      <c r="C11" s="189"/>
      <c r="D11" s="196"/>
      <c r="E11" s="196"/>
      <c r="F11" s="196"/>
      <c r="G11" s="196"/>
    </row>
    <row r="12" spans="1:7" x14ac:dyDescent="0.2">
      <c r="D12" s="196"/>
      <c r="E12" s="196"/>
      <c r="F12" s="196"/>
      <c r="G12" s="196"/>
    </row>
    <row r="13" spans="1:7" ht="13.5" customHeight="1" x14ac:dyDescent="0.2">
      <c r="A13" s="189" t="s">
        <v>310</v>
      </c>
      <c r="B13" s="189"/>
      <c r="C13" s="189"/>
      <c r="D13" s="196"/>
      <c r="E13" s="196"/>
      <c r="F13" s="196"/>
      <c r="G13" s="196"/>
    </row>
    <row r="14" spans="1:7" ht="12" customHeight="1" x14ac:dyDescent="0.2">
      <c r="A14" s="94"/>
      <c r="B14" s="94"/>
      <c r="D14" s="196"/>
      <c r="E14" s="196"/>
      <c r="F14" s="196"/>
      <c r="G14" s="196"/>
    </row>
    <row r="15" spans="1:7" ht="42.75" hidden="1" customHeight="1" x14ac:dyDescent="0.2">
      <c r="A15" s="189"/>
      <c r="B15" s="210"/>
      <c r="C15" s="210"/>
      <c r="D15" s="210"/>
      <c r="E15" s="210"/>
      <c r="F15" s="210"/>
      <c r="G15" s="210"/>
    </row>
    <row r="16" spans="1:7" ht="12.75" customHeight="1" x14ac:dyDescent="0.2">
      <c r="A16" s="95"/>
      <c r="B16" s="93"/>
      <c r="C16" s="93"/>
      <c r="D16" s="93"/>
      <c r="E16" s="93"/>
      <c r="F16" s="93"/>
      <c r="G16" s="93"/>
    </row>
    <row r="17" spans="1:7" ht="12.75" customHeight="1" x14ac:dyDescent="0.2">
      <c r="A17" s="198" t="s">
        <v>218</v>
      </c>
      <c r="B17" s="198"/>
      <c r="C17" s="198"/>
      <c r="D17" s="198"/>
      <c r="E17" s="198"/>
      <c r="F17" s="198"/>
      <c r="G17" s="198"/>
    </row>
    <row r="18" spans="1:7" ht="32.25" customHeight="1" x14ac:dyDescent="0.2">
      <c r="A18" s="127" t="s">
        <v>108</v>
      </c>
      <c r="B18" s="127" t="s">
        <v>311</v>
      </c>
      <c r="C18" s="127" t="s">
        <v>312</v>
      </c>
      <c r="D18" s="127" t="s">
        <v>313</v>
      </c>
      <c r="E18" s="127" t="s">
        <v>314</v>
      </c>
      <c r="F18" s="127" t="s">
        <v>315</v>
      </c>
      <c r="G18" s="127" t="s">
        <v>114</v>
      </c>
    </row>
    <row r="19" spans="1:7" x14ac:dyDescent="0.2">
      <c r="A19" s="128">
        <v>1</v>
      </c>
      <c r="B19" s="129">
        <v>2</v>
      </c>
      <c r="C19" s="129">
        <v>3</v>
      </c>
      <c r="D19" s="129">
        <v>4</v>
      </c>
      <c r="E19" s="129">
        <v>5</v>
      </c>
      <c r="F19" s="129">
        <v>6</v>
      </c>
      <c r="G19" s="129">
        <v>7</v>
      </c>
    </row>
    <row r="20" spans="1:7" ht="12.75" customHeight="1" x14ac:dyDescent="0.2">
      <c r="A20" s="65" t="s">
        <v>6</v>
      </c>
      <c r="B20" s="66" t="s">
        <v>115</v>
      </c>
      <c r="C20" s="66"/>
      <c r="D20" s="66"/>
      <c r="E20" s="66" t="s">
        <v>316</v>
      </c>
      <c r="F20" s="66"/>
      <c r="G20" s="67"/>
    </row>
    <row r="21" spans="1:7" ht="140.25" customHeight="1" x14ac:dyDescent="0.2">
      <c r="A21" s="85" t="s">
        <v>117</v>
      </c>
      <c r="B21" s="86" t="s">
        <v>901</v>
      </c>
      <c r="C21" s="87" t="s">
        <v>902</v>
      </c>
      <c r="D21" s="87">
        <v>1</v>
      </c>
      <c r="E21" s="87" t="s">
        <v>903</v>
      </c>
      <c r="F21" s="87" t="s">
        <v>904</v>
      </c>
      <c r="G21" s="88">
        <f>ROUND(6426  * 1,2)</f>
        <v>6426</v>
      </c>
    </row>
    <row r="22" spans="1:7" ht="15.75" customHeight="1" x14ac:dyDescent="0.2">
      <c r="A22" s="71" t="s">
        <v>129</v>
      </c>
      <c r="B22" s="72" t="s">
        <v>130</v>
      </c>
      <c r="C22" s="72"/>
      <c r="D22" s="72"/>
      <c r="E22" s="72"/>
      <c r="F22" s="72"/>
      <c r="G22" s="73"/>
    </row>
    <row r="23" spans="1:7" ht="12.75" customHeight="1" x14ac:dyDescent="0.2">
      <c r="A23" s="96" t="s">
        <v>129</v>
      </c>
      <c r="B23" s="97" t="s">
        <v>321</v>
      </c>
      <c r="C23" s="97"/>
      <c r="D23" s="97"/>
      <c r="E23" s="97"/>
      <c r="F23" s="97"/>
      <c r="G23" s="80"/>
    </row>
    <row r="24" spans="1:7" ht="140.25" customHeight="1" x14ac:dyDescent="0.2">
      <c r="A24" s="90" t="s">
        <v>121</v>
      </c>
      <c r="B24" s="91" t="s">
        <v>317</v>
      </c>
      <c r="C24" s="81" t="s">
        <v>318</v>
      </c>
      <c r="D24" s="81">
        <v>0.75</v>
      </c>
      <c r="E24" s="81" t="s">
        <v>319</v>
      </c>
      <c r="F24" s="81" t="s">
        <v>320</v>
      </c>
      <c r="G24" s="82">
        <f>ROUND(3284  * 0.75 * 1.4,2)</f>
        <v>3448.2</v>
      </c>
    </row>
    <row r="25" spans="1:7" ht="15.75" customHeight="1" x14ac:dyDescent="0.2">
      <c r="A25" s="71" t="s">
        <v>129</v>
      </c>
      <c r="B25" s="72" t="s">
        <v>130</v>
      </c>
      <c r="C25" s="72"/>
      <c r="D25" s="72"/>
      <c r="E25" s="72"/>
      <c r="F25" s="72"/>
      <c r="G25" s="73"/>
    </row>
    <row r="26" spans="1:7" ht="12.75" customHeight="1" x14ac:dyDescent="0.2">
      <c r="A26" s="74" t="s">
        <v>129</v>
      </c>
      <c r="B26" s="75" t="s">
        <v>321</v>
      </c>
      <c r="C26" s="75"/>
      <c r="D26" s="75"/>
      <c r="E26" s="75"/>
      <c r="F26" s="75"/>
      <c r="G26" s="76"/>
    </row>
    <row r="27" spans="1:7" ht="102" customHeight="1" x14ac:dyDescent="0.2">
      <c r="A27" s="96" t="s">
        <v>129</v>
      </c>
      <c r="B27" s="97" t="s">
        <v>322</v>
      </c>
      <c r="C27" s="97"/>
      <c r="D27" s="97"/>
      <c r="E27" s="97" t="s">
        <v>323</v>
      </c>
      <c r="F27" s="97"/>
      <c r="G27" s="80"/>
    </row>
    <row r="28" spans="1:7" ht="12.75" customHeight="1" x14ac:dyDescent="0.2">
      <c r="A28" s="96" t="s">
        <v>123</v>
      </c>
      <c r="B28" s="83" t="s">
        <v>324</v>
      </c>
      <c r="C28" s="83"/>
      <c r="D28" s="83"/>
      <c r="E28" s="83"/>
      <c r="F28" s="83"/>
      <c r="G28" s="84">
        <f>ROUND((SUM($G$21:$G$24)),2)</f>
        <v>9874.2000000000007</v>
      </c>
    </row>
    <row r="29" spans="1:7" ht="12.75" customHeight="1" x14ac:dyDescent="0.2">
      <c r="A29" s="65" t="s">
        <v>230</v>
      </c>
      <c r="B29" s="66" t="s">
        <v>325</v>
      </c>
      <c r="C29" s="66"/>
      <c r="D29" s="66"/>
      <c r="E29" s="66"/>
      <c r="F29" s="66"/>
      <c r="G29" s="70">
        <f>ROUND(($G$28),2)</f>
        <v>9874.2000000000007</v>
      </c>
    </row>
    <row r="30" spans="1:7" ht="12.75" customHeight="1" x14ac:dyDescent="0.2">
      <c r="A30" s="65" t="s">
        <v>7</v>
      </c>
      <c r="B30" s="66" t="s">
        <v>115</v>
      </c>
      <c r="C30" s="66"/>
      <c r="D30" s="66"/>
      <c r="E30" s="66" t="s">
        <v>326</v>
      </c>
      <c r="F30" s="66"/>
      <c r="G30" s="67"/>
    </row>
    <row r="31" spans="1:7" ht="25.5" customHeight="1" x14ac:dyDescent="0.2">
      <c r="A31" s="65" t="s">
        <v>125</v>
      </c>
      <c r="B31" s="66" t="s">
        <v>327</v>
      </c>
      <c r="C31" s="66"/>
      <c r="D31" s="66"/>
      <c r="E31" s="66"/>
      <c r="F31" s="66"/>
      <c r="G31" s="70">
        <f>ROUND(0,2)</f>
        <v>0</v>
      </c>
    </row>
    <row r="32" spans="1:7" ht="25.5" customHeight="1" x14ac:dyDescent="0.2">
      <c r="A32" s="65" t="s">
        <v>139</v>
      </c>
      <c r="B32" s="66" t="s">
        <v>328</v>
      </c>
      <c r="C32" s="66"/>
      <c r="D32" s="66"/>
      <c r="E32" s="66"/>
      <c r="F32" s="66"/>
      <c r="G32" s="70">
        <f>ROUND(($G$31),2)</f>
        <v>0</v>
      </c>
    </row>
    <row r="33" spans="1:7" ht="12.75" customHeight="1" x14ac:dyDescent="0.2">
      <c r="A33" s="65" t="s">
        <v>23</v>
      </c>
      <c r="B33" s="66" t="s">
        <v>115</v>
      </c>
      <c r="C33" s="66"/>
      <c r="D33" s="66"/>
      <c r="E33" s="66" t="s">
        <v>329</v>
      </c>
      <c r="F33" s="66"/>
      <c r="G33" s="67"/>
    </row>
    <row r="34" spans="1:7" ht="140.25" customHeight="1" x14ac:dyDescent="0.2">
      <c r="A34" s="85" t="s">
        <v>149</v>
      </c>
      <c r="B34" s="86" t="s">
        <v>317</v>
      </c>
      <c r="C34" s="87" t="s">
        <v>318</v>
      </c>
      <c r="D34" s="87">
        <v>0.75</v>
      </c>
      <c r="E34" s="87" t="s">
        <v>330</v>
      </c>
      <c r="F34" s="87" t="s">
        <v>331</v>
      </c>
      <c r="G34" s="88">
        <f>ROUND(1067  * 0.75,2)</f>
        <v>800.25</v>
      </c>
    </row>
    <row r="35" spans="1:7" ht="15.75" customHeight="1" x14ac:dyDescent="0.2">
      <c r="A35" s="71" t="s">
        <v>129</v>
      </c>
      <c r="B35" s="72" t="s">
        <v>130</v>
      </c>
      <c r="C35" s="72"/>
      <c r="D35" s="72"/>
      <c r="E35" s="72"/>
      <c r="F35" s="72"/>
      <c r="G35" s="73"/>
    </row>
    <row r="36" spans="1:7" ht="12.75" customHeight="1" x14ac:dyDescent="0.2">
      <c r="A36" s="96" t="s">
        <v>129</v>
      </c>
      <c r="B36" s="97" t="s">
        <v>321</v>
      </c>
      <c r="C36" s="97"/>
      <c r="D36" s="97"/>
      <c r="E36" s="97"/>
      <c r="F36" s="97"/>
      <c r="G36" s="80"/>
    </row>
    <row r="37" spans="1:7" ht="140.25" customHeight="1" x14ac:dyDescent="0.2">
      <c r="A37" s="90" t="s">
        <v>160</v>
      </c>
      <c r="B37" s="91" t="s">
        <v>901</v>
      </c>
      <c r="C37" s="81" t="s">
        <v>902</v>
      </c>
      <c r="D37" s="81">
        <v>1</v>
      </c>
      <c r="E37" s="81" t="s">
        <v>905</v>
      </c>
      <c r="F37" s="81" t="s">
        <v>906</v>
      </c>
      <c r="G37" s="82">
        <f>ROUND(2538  * 1,2)</f>
        <v>2538</v>
      </c>
    </row>
    <row r="38" spans="1:7" ht="15.75" customHeight="1" x14ac:dyDescent="0.2">
      <c r="A38" s="71" t="s">
        <v>129</v>
      </c>
      <c r="B38" s="72" t="s">
        <v>130</v>
      </c>
      <c r="C38" s="72"/>
      <c r="D38" s="72"/>
      <c r="E38" s="72"/>
      <c r="F38" s="72"/>
      <c r="G38" s="73"/>
    </row>
    <row r="39" spans="1:7" ht="12.75" customHeight="1" x14ac:dyDescent="0.2">
      <c r="A39" s="96" t="s">
        <v>129</v>
      </c>
      <c r="B39" s="97" t="s">
        <v>321</v>
      </c>
      <c r="C39" s="97"/>
      <c r="D39" s="97"/>
      <c r="E39" s="97"/>
      <c r="F39" s="97"/>
      <c r="G39" s="80"/>
    </row>
    <row r="40" spans="1:7" ht="25.5" customHeight="1" x14ac:dyDescent="0.2">
      <c r="A40" s="96" t="s">
        <v>166</v>
      </c>
      <c r="B40" s="83" t="s">
        <v>332</v>
      </c>
      <c r="C40" s="83"/>
      <c r="D40" s="83"/>
      <c r="E40" s="83"/>
      <c r="F40" s="83"/>
      <c r="G40" s="84">
        <f>ROUND((SUM($G$34:$G$37)),2)</f>
        <v>3338.25</v>
      </c>
    </row>
    <row r="41" spans="1:7" ht="76.5" customHeight="1" x14ac:dyDescent="0.2">
      <c r="A41" s="65" t="s">
        <v>171</v>
      </c>
      <c r="B41" s="68" t="s">
        <v>333</v>
      </c>
      <c r="C41" s="68"/>
      <c r="D41" s="68"/>
      <c r="E41" s="68" t="s">
        <v>334</v>
      </c>
      <c r="F41" s="68" t="s">
        <v>907</v>
      </c>
      <c r="G41" s="69">
        <f>ROUND(($G$40) * 0.2 * 1,2)</f>
        <v>667.65</v>
      </c>
    </row>
    <row r="42" spans="1:7" ht="25.5" customHeight="1" x14ac:dyDescent="0.2">
      <c r="A42" s="65" t="s">
        <v>180</v>
      </c>
      <c r="B42" s="66" t="s">
        <v>335</v>
      </c>
      <c r="C42" s="66"/>
      <c r="D42" s="66"/>
      <c r="E42" s="66"/>
      <c r="F42" s="66"/>
      <c r="G42" s="70">
        <f>ROUND((SUM($G$40:$G$41)),2)</f>
        <v>4005.9</v>
      </c>
    </row>
    <row r="43" spans="1:7" ht="12.75" customHeight="1" x14ac:dyDescent="0.2">
      <c r="A43" s="65" t="s">
        <v>24</v>
      </c>
      <c r="B43" s="66" t="s">
        <v>115</v>
      </c>
      <c r="C43" s="66"/>
      <c r="D43" s="66"/>
      <c r="E43" s="66" t="s">
        <v>336</v>
      </c>
      <c r="F43" s="66"/>
      <c r="G43" s="67"/>
    </row>
    <row r="44" spans="1:7" ht="76.5" customHeight="1" x14ac:dyDescent="0.2">
      <c r="A44" s="65" t="s">
        <v>289</v>
      </c>
      <c r="B44" s="68" t="s">
        <v>337</v>
      </c>
      <c r="C44" s="68"/>
      <c r="D44" s="68"/>
      <c r="E44" s="68" t="s">
        <v>338</v>
      </c>
      <c r="F44" s="68" t="s">
        <v>908</v>
      </c>
      <c r="G44" s="69">
        <f>ROUND(($G$29) * 8.75 / 100 * 1,2)</f>
        <v>863.99</v>
      </c>
    </row>
    <row r="45" spans="1:7" ht="89.25" customHeight="1" x14ac:dyDescent="0.2">
      <c r="A45" s="65" t="s">
        <v>291</v>
      </c>
      <c r="B45" s="68" t="s">
        <v>339</v>
      </c>
      <c r="C45" s="68"/>
      <c r="D45" s="68"/>
      <c r="E45" s="68" t="s">
        <v>340</v>
      </c>
      <c r="F45" s="68" t="s">
        <v>909</v>
      </c>
      <c r="G45" s="69">
        <f>ROUND(($G$29 + $G$44) * 30.8 / 100 * 1,2)</f>
        <v>3307.36</v>
      </c>
    </row>
    <row r="46" spans="1:7" ht="165.75" customHeight="1" x14ac:dyDescent="0.2">
      <c r="A46" s="65" t="s">
        <v>292</v>
      </c>
      <c r="B46" s="68" t="s">
        <v>341</v>
      </c>
      <c r="C46" s="68"/>
      <c r="D46" s="68"/>
      <c r="E46" s="68" t="s">
        <v>342</v>
      </c>
      <c r="F46" s="68" t="s">
        <v>910</v>
      </c>
      <c r="G46" s="69">
        <f>ROUND(($G$29 + $G$44) * 2.5 * 1 * 6 / 100 * 1,2)</f>
        <v>1610.73</v>
      </c>
    </row>
    <row r="47" spans="1:7" ht="12.75" customHeight="1" x14ac:dyDescent="0.2">
      <c r="A47" s="65" t="s">
        <v>293</v>
      </c>
      <c r="B47" s="66" t="s">
        <v>343</v>
      </c>
      <c r="C47" s="66"/>
      <c r="D47" s="66"/>
      <c r="E47" s="66"/>
      <c r="F47" s="66"/>
      <c r="G47" s="70">
        <f>ROUND((SUM($G$44:$G$46)),2)</f>
        <v>5782.08</v>
      </c>
    </row>
    <row r="48" spans="1:7" ht="12.75" customHeight="1" x14ac:dyDescent="0.2">
      <c r="A48" s="65" t="s">
        <v>25</v>
      </c>
      <c r="B48" s="66" t="s">
        <v>213</v>
      </c>
      <c r="C48" s="66"/>
      <c r="D48" s="66"/>
      <c r="E48" s="66"/>
      <c r="F48" s="66"/>
      <c r="G48" s="70">
        <f>ROUND(($G$29 + $G$32 + $G$42 + $G$47),2)</f>
        <v>19662.18</v>
      </c>
    </row>
    <row r="49" spans="1:7" ht="51" customHeight="1" x14ac:dyDescent="0.2">
      <c r="A49" s="65" t="s">
        <v>26</v>
      </c>
      <c r="B49" s="68" t="s">
        <v>344</v>
      </c>
      <c r="C49" s="68"/>
      <c r="D49" s="68"/>
      <c r="E49" s="68" t="s">
        <v>345</v>
      </c>
      <c r="F49" s="68" t="s">
        <v>346</v>
      </c>
      <c r="G49" s="69">
        <f>ROUND(($G$48) * 0.15 * 1,2)</f>
        <v>2949.33</v>
      </c>
    </row>
    <row r="50" spans="1:7" ht="51" customHeight="1" x14ac:dyDescent="0.2">
      <c r="A50" s="65" t="s">
        <v>27</v>
      </c>
      <c r="B50" s="68" t="s">
        <v>347</v>
      </c>
      <c r="C50" s="68"/>
      <c r="D50" s="68"/>
      <c r="E50" s="68" t="s">
        <v>348</v>
      </c>
      <c r="F50" s="68" t="s">
        <v>349</v>
      </c>
      <c r="G50" s="69">
        <f>ROUND((SUM($G$48:$G$49)) * 4.82 * 1,2)</f>
        <v>108987.48</v>
      </c>
    </row>
    <row r="51" spans="1:7" ht="12.75" customHeight="1" x14ac:dyDescent="0.2">
      <c r="A51" s="65" t="s">
        <v>28</v>
      </c>
      <c r="B51" s="66" t="s">
        <v>214</v>
      </c>
      <c r="C51" s="66"/>
      <c r="D51" s="66"/>
      <c r="E51" s="66"/>
      <c r="F51" s="66"/>
      <c r="G51" s="70">
        <f>ROUND(($G$50),2)</f>
        <v>108987.48</v>
      </c>
    </row>
    <row r="52" spans="1:7" ht="12.75" customHeight="1" x14ac:dyDescent="0.2"/>
    <row r="55" spans="1:7" s="93" customFormat="1" ht="24.95" customHeight="1" x14ac:dyDescent="0.25">
      <c r="A55" s="189" t="s">
        <v>215</v>
      </c>
      <c r="B55" s="189"/>
      <c r="C55" s="189"/>
      <c r="D55" s="189"/>
      <c r="E55" s="189"/>
      <c r="F55" s="189"/>
      <c r="G55" s="189"/>
    </row>
  </sheetData>
  <mergeCells count="16">
    <mergeCell ref="A15:G15"/>
    <mergeCell ref="A17:G17"/>
    <mergeCell ref="A55:B55"/>
    <mergeCell ref="C55:G55"/>
    <mergeCell ref="A9:C9"/>
    <mergeCell ref="D9:G9"/>
    <mergeCell ref="A11:C11"/>
    <mergeCell ref="D11:G12"/>
    <mergeCell ref="A13:C13"/>
    <mergeCell ref="D13:G14"/>
    <mergeCell ref="A1:B1"/>
    <mergeCell ref="C1:G1"/>
    <mergeCell ref="B4:F4"/>
    <mergeCell ref="B5:F5"/>
    <mergeCell ref="A7:C7"/>
    <mergeCell ref="D7:G7"/>
  </mergeCells>
  <pageMargins left="0.39374999999999999" right="0.39374999999999999" top="0.59027777777777779" bottom="0.82777777777777783" header="0.51180555555555562" footer="0.59027777777777779"/>
  <pageSetup paperSize="9" scale="99" orientation="portrait" useFirstPageNumber="1" horizontalDpi="300" verticalDpi="300" r:id="rId1"/>
  <headerFooter alignWithMargins="0">
    <oddFooter>&amp;CСтраница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AD9D4-D961-4685-92B0-BFC03B04DA98}">
  <dimension ref="A1:G134"/>
  <sheetViews>
    <sheetView topLeftCell="A121" workbookViewId="0">
      <selection activeCell="C134" sqref="C134:G134"/>
    </sheetView>
  </sheetViews>
  <sheetFormatPr defaultColWidth="11.5703125" defaultRowHeight="12.75" x14ac:dyDescent="0.2"/>
  <cols>
    <col min="1" max="1" width="3.7109375" style="107" customWidth="1"/>
    <col min="2" max="2" width="26.7109375" style="107" customWidth="1"/>
    <col min="3" max="3" width="7.7109375" style="107" customWidth="1"/>
    <col min="4" max="4" width="5" style="107" customWidth="1"/>
    <col min="5" max="5" width="27.7109375" style="107" customWidth="1"/>
    <col min="6" max="6" width="14.42578125" style="107" customWidth="1"/>
    <col min="7" max="7" width="11.5703125" style="107" customWidth="1"/>
    <col min="8" max="16384" width="11.5703125" style="58"/>
  </cols>
  <sheetData>
    <row r="1" spans="1:7" ht="51.2" customHeight="1" x14ac:dyDescent="0.2">
      <c r="A1" s="190" t="s">
        <v>99</v>
      </c>
      <c r="B1" s="190"/>
      <c r="C1" s="192" t="s">
        <v>911</v>
      </c>
      <c r="D1" s="192"/>
      <c r="E1" s="192"/>
      <c r="F1" s="192"/>
      <c r="G1" s="192"/>
    </row>
    <row r="2" spans="1:7" x14ac:dyDescent="0.2">
      <c r="A2" s="59"/>
      <c r="B2" s="59"/>
      <c r="C2" s="60"/>
      <c r="D2" s="60"/>
      <c r="E2" s="60"/>
      <c r="F2" s="60"/>
      <c r="G2" s="60"/>
    </row>
    <row r="3" spans="1:7" x14ac:dyDescent="0.2">
      <c r="A3" s="59"/>
      <c r="B3" s="59"/>
      <c r="C3" s="60"/>
      <c r="D3" s="60"/>
      <c r="E3" s="60"/>
      <c r="F3" s="60"/>
      <c r="G3" s="60"/>
    </row>
    <row r="4" spans="1:7" x14ac:dyDescent="0.2">
      <c r="B4" s="193" t="s">
        <v>350</v>
      </c>
      <c r="C4" s="193"/>
      <c r="D4" s="193"/>
      <c r="E4" s="193"/>
      <c r="F4" s="193"/>
    </row>
    <row r="5" spans="1:7" x14ac:dyDescent="0.2">
      <c r="B5" s="194" t="s">
        <v>351</v>
      </c>
      <c r="C5" s="194"/>
      <c r="D5" s="194"/>
      <c r="E5" s="194"/>
      <c r="F5" s="194"/>
    </row>
    <row r="6" spans="1:7" x14ac:dyDescent="0.2">
      <c r="B6" s="61"/>
      <c r="C6" s="61"/>
      <c r="D6" s="61"/>
      <c r="E6" s="61"/>
      <c r="F6" s="61"/>
    </row>
    <row r="7" spans="1:7" ht="51" customHeight="1" x14ac:dyDescent="0.2">
      <c r="A7" s="189" t="s">
        <v>102</v>
      </c>
      <c r="B7" s="189"/>
      <c r="C7" s="189"/>
      <c r="D7" s="195" t="s">
        <v>87</v>
      </c>
      <c r="E7" s="195"/>
      <c r="F7" s="195"/>
      <c r="G7" s="195"/>
    </row>
    <row r="8" spans="1:7" x14ac:dyDescent="0.2">
      <c r="C8" s="62"/>
      <c r="D8" s="62"/>
      <c r="E8" s="62"/>
    </row>
    <row r="9" spans="1:7" ht="12.75" customHeight="1" x14ac:dyDescent="0.2">
      <c r="A9" s="189" t="s">
        <v>308</v>
      </c>
      <c r="B9" s="189"/>
      <c r="C9" s="189"/>
      <c r="D9" s="196" t="s">
        <v>352</v>
      </c>
      <c r="E9" s="196"/>
      <c r="F9" s="196"/>
      <c r="G9" s="196"/>
    </row>
    <row r="10" spans="1:7" x14ac:dyDescent="0.2">
      <c r="A10" s="63"/>
      <c r="B10" s="63"/>
      <c r="C10" s="94"/>
      <c r="D10" s="64"/>
      <c r="E10" s="64"/>
      <c r="F10" s="64"/>
      <c r="G10" s="64"/>
    </row>
    <row r="11" spans="1:7" x14ac:dyDescent="0.2">
      <c r="A11" s="189" t="s">
        <v>309</v>
      </c>
      <c r="B11" s="189"/>
      <c r="C11" s="189"/>
      <c r="D11" s="196"/>
      <c r="E11" s="196"/>
      <c r="F11" s="196"/>
      <c r="G11" s="196"/>
    </row>
    <row r="12" spans="1:7" x14ac:dyDescent="0.2">
      <c r="D12" s="196"/>
      <c r="E12" s="196"/>
      <c r="F12" s="196"/>
      <c r="G12" s="196"/>
    </row>
    <row r="13" spans="1:7" ht="13.5" customHeight="1" x14ac:dyDescent="0.2">
      <c r="A13" s="189" t="s">
        <v>310</v>
      </c>
      <c r="B13" s="189"/>
      <c r="C13" s="189"/>
      <c r="D13" s="196"/>
      <c r="E13" s="196"/>
      <c r="F13" s="196"/>
      <c r="G13" s="196"/>
    </row>
    <row r="14" spans="1:7" ht="12" customHeight="1" x14ac:dyDescent="0.2">
      <c r="A14" s="94"/>
      <c r="B14" s="94"/>
      <c r="D14" s="196"/>
      <c r="E14" s="196"/>
      <c r="F14" s="196"/>
      <c r="G14" s="196"/>
    </row>
    <row r="15" spans="1:7" ht="25.5" customHeight="1" x14ac:dyDescent="0.2">
      <c r="A15" s="189" t="s">
        <v>353</v>
      </c>
      <c r="B15" s="210"/>
      <c r="C15" s="210"/>
      <c r="D15" s="210"/>
      <c r="E15" s="210"/>
      <c r="F15" s="210"/>
      <c r="G15" s="210"/>
    </row>
    <row r="16" spans="1:7" ht="12.75" customHeight="1" x14ac:dyDescent="0.2">
      <c r="A16" s="95"/>
      <c r="B16" s="93"/>
      <c r="C16" s="93"/>
      <c r="D16" s="93"/>
      <c r="E16" s="93"/>
      <c r="F16" s="93"/>
      <c r="G16" s="93"/>
    </row>
    <row r="17" spans="1:7" ht="12.75" customHeight="1" x14ac:dyDescent="0.2">
      <c r="A17" s="198" t="s">
        <v>218</v>
      </c>
      <c r="B17" s="198"/>
      <c r="C17" s="198"/>
      <c r="D17" s="198"/>
      <c r="E17" s="198"/>
      <c r="F17" s="198"/>
      <c r="G17" s="198"/>
    </row>
    <row r="18" spans="1:7" ht="32.25" customHeight="1" x14ac:dyDescent="0.2">
      <c r="A18" s="127" t="s">
        <v>108</v>
      </c>
      <c r="B18" s="127" t="s">
        <v>311</v>
      </c>
      <c r="C18" s="127" t="s">
        <v>312</v>
      </c>
      <c r="D18" s="127" t="s">
        <v>313</v>
      </c>
      <c r="E18" s="127" t="s">
        <v>314</v>
      </c>
      <c r="F18" s="127" t="s">
        <v>315</v>
      </c>
      <c r="G18" s="127" t="s">
        <v>114</v>
      </c>
    </row>
    <row r="19" spans="1:7" x14ac:dyDescent="0.2">
      <c r="A19" s="128">
        <v>1</v>
      </c>
      <c r="B19" s="129">
        <v>2</v>
      </c>
      <c r="C19" s="129">
        <v>3</v>
      </c>
      <c r="D19" s="129">
        <v>4</v>
      </c>
      <c r="E19" s="129">
        <v>5</v>
      </c>
      <c r="F19" s="129">
        <v>6</v>
      </c>
      <c r="G19" s="129">
        <v>7</v>
      </c>
    </row>
    <row r="20" spans="1:7" ht="12.75" customHeight="1" x14ac:dyDescent="0.2">
      <c r="A20" s="65" t="s">
        <v>6</v>
      </c>
      <c r="B20" s="66" t="s">
        <v>115</v>
      </c>
      <c r="C20" s="66"/>
      <c r="D20" s="66"/>
      <c r="E20" s="66" t="s">
        <v>316</v>
      </c>
      <c r="F20" s="66"/>
      <c r="G20" s="67"/>
    </row>
    <row r="21" spans="1:7" ht="191.25" customHeight="1" x14ac:dyDescent="0.2">
      <c r="A21" s="85" t="s">
        <v>117</v>
      </c>
      <c r="B21" s="86" t="s">
        <v>354</v>
      </c>
      <c r="C21" s="87" t="s">
        <v>355</v>
      </c>
      <c r="D21" s="87">
        <v>1</v>
      </c>
      <c r="E21" s="87" t="s">
        <v>356</v>
      </c>
      <c r="F21" s="87" t="s">
        <v>357</v>
      </c>
      <c r="G21" s="88">
        <f>ROUND(23.3  * 1 * 1,2)</f>
        <v>23.3</v>
      </c>
    </row>
    <row r="22" spans="1:7" ht="15.75" customHeight="1" x14ac:dyDescent="0.2">
      <c r="A22" s="71" t="s">
        <v>129</v>
      </c>
      <c r="B22" s="72" t="s">
        <v>130</v>
      </c>
      <c r="C22" s="72"/>
      <c r="D22" s="72"/>
      <c r="E22" s="72"/>
      <c r="F22" s="72"/>
      <c r="G22" s="73"/>
    </row>
    <row r="23" spans="1:7" ht="12.75" customHeight="1" x14ac:dyDescent="0.2">
      <c r="A23" s="74" t="s">
        <v>129</v>
      </c>
      <c r="B23" s="75" t="s">
        <v>321</v>
      </c>
      <c r="C23" s="75"/>
      <c r="D23" s="75"/>
      <c r="E23" s="75"/>
      <c r="F23" s="75"/>
      <c r="G23" s="76"/>
    </row>
    <row r="24" spans="1:7" ht="12.75" customHeight="1" x14ac:dyDescent="0.2">
      <c r="A24" s="74" t="s">
        <v>129</v>
      </c>
      <c r="B24" s="75" t="s">
        <v>176</v>
      </c>
      <c r="C24" s="75"/>
      <c r="D24" s="75"/>
      <c r="E24" s="75" t="s">
        <v>358</v>
      </c>
      <c r="F24" s="75"/>
      <c r="G24" s="76"/>
    </row>
    <row r="25" spans="1:7" ht="15.75" customHeight="1" x14ac:dyDescent="0.2">
      <c r="A25" s="74" t="s">
        <v>129</v>
      </c>
      <c r="B25" s="77" t="s">
        <v>137</v>
      </c>
      <c r="C25" s="77"/>
      <c r="D25" s="77"/>
      <c r="E25" s="77"/>
      <c r="F25" s="77"/>
      <c r="G25" s="78"/>
    </row>
    <row r="26" spans="1:7" ht="12.75" customHeight="1" x14ac:dyDescent="0.2">
      <c r="A26" s="96" t="s">
        <v>129</v>
      </c>
      <c r="B26" s="97" t="s">
        <v>138</v>
      </c>
      <c r="C26" s="97"/>
      <c r="D26" s="97"/>
      <c r="E26" s="79">
        <v>1</v>
      </c>
      <c r="F26" s="97"/>
      <c r="G26" s="80"/>
    </row>
    <row r="27" spans="1:7" ht="114.75" customHeight="1" x14ac:dyDescent="0.2">
      <c r="A27" s="90" t="s">
        <v>121</v>
      </c>
      <c r="B27" s="91" t="s">
        <v>359</v>
      </c>
      <c r="C27" s="81" t="s">
        <v>360</v>
      </c>
      <c r="D27" s="81">
        <v>30</v>
      </c>
      <c r="E27" s="81" t="s">
        <v>912</v>
      </c>
      <c r="F27" s="81" t="s">
        <v>913</v>
      </c>
      <c r="G27" s="82">
        <f>ROUND(38.4  * 30 * 1 * 1.3,2)</f>
        <v>1497.6</v>
      </c>
    </row>
    <row r="28" spans="1:7" ht="15.75" customHeight="1" x14ac:dyDescent="0.2">
      <c r="A28" s="71" t="s">
        <v>129</v>
      </c>
      <c r="B28" s="72" t="s">
        <v>130</v>
      </c>
      <c r="C28" s="72"/>
      <c r="D28" s="72"/>
      <c r="E28" s="72"/>
      <c r="F28" s="72"/>
      <c r="G28" s="73"/>
    </row>
    <row r="29" spans="1:7" ht="12.75" customHeight="1" x14ac:dyDescent="0.2">
      <c r="A29" s="74" t="s">
        <v>129</v>
      </c>
      <c r="B29" s="75" t="s">
        <v>321</v>
      </c>
      <c r="C29" s="75"/>
      <c r="D29" s="75"/>
      <c r="E29" s="75"/>
      <c r="F29" s="75"/>
      <c r="G29" s="76"/>
    </row>
    <row r="30" spans="1:7" ht="12.75" customHeight="1" x14ac:dyDescent="0.2">
      <c r="A30" s="74" t="s">
        <v>129</v>
      </c>
      <c r="B30" s="75" t="s">
        <v>176</v>
      </c>
      <c r="C30" s="75"/>
      <c r="D30" s="75"/>
      <c r="E30" s="75" t="s">
        <v>358</v>
      </c>
      <c r="F30" s="75"/>
      <c r="G30" s="76"/>
    </row>
    <row r="31" spans="1:7" ht="76.5" customHeight="1" x14ac:dyDescent="0.2">
      <c r="A31" s="74" t="s">
        <v>129</v>
      </c>
      <c r="B31" s="75" t="s">
        <v>361</v>
      </c>
      <c r="C31" s="75"/>
      <c r="D31" s="75"/>
      <c r="E31" s="75" t="s">
        <v>362</v>
      </c>
      <c r="F31" s="75"/>
      <c r="G31" s="76"/>
    </row>
    <row r="32" spans="1:7" ht="15.75" customHeight="1" x14ac:dyDescent="0.2">
      <c r="A32" s="74" t="s">
        <v>129</v>
      </c>
      <c r="B32" s="77" t="s">
        <v>137</v>
      </c>
      <c r="C32" s="77"/>
      <c r="D32" s="77"/>
      <c r="E32" s="77"/>
      <c r="F32" s="77"/>
      <c r="G32" s="78"/>
    </row>
    <row r="33" spans="1:7" ht="12.75" customHeight="1" x14ac:dyDescent="0.2">
      <c r="A33" s="96" t="s">
        <v>129</v>
      </c>
      <c r="B33" s="97" t="s">
        <v>138</v>
      </c>
      <c r="C33" s="97"/>
      <c r="D33" s="97"/>
      <c r="E33" s="79">
        <v>1</v>
      </c>
      <c r="F33" s="97"/>
      <c r="G33" s="80"/>
    </row>
    <row r="34" spans="1:7" ht="114.75" customHeight="1" x14ac:dyDescent="0.2">
      <c r="A34" s="90" t="s">
        <v>123</v>
      </c>
      <c r="B34" s="91" t="s">
        <v>363</v>
      </c>
      <c r="C34" s="81" t="s">
        <v>360</v>
      </c>
      <c r="D34" s="81">
        <v>25</v>
      </c>
      <c r="E34" s="81" t="s">
        <v>914</v>
      </c>
      <c r="F34" s="81" t="s">
        <v>915</v>
      </c>
      <c r="G34" s="82">
        <f>ROUND(42.6  * 25 * 1 * 1.3,2)</f>
        <v>1384.5</v>
      </c>
    </row>
    <row r="35" spans="1:7" ht="15.75" customHeight="1" x14ac:dyDescent="0.2">
      <c r="A35" s="71" t="s">
        <v>129</v>
      </c>
      <c r="B35" s="72" t="s">
        <v>130</v>
      </c>
      <c r="C35" s="72"/>
      <c r="D35" s="72"/>
      <c r="E35" s="72"/>
      <c r="F35" s="72"/>
      <c r="G35" s="73"/>
    </row>
    <row r="36" spans="1:7" ht="12.75" customHeight="1" x14ac:dyDescent="0.2">
      <c r="A36" s="74" t="s">
        <v>129</v>
      </c>
      <c r="B36" s="75" t="s">
        <v>321</v>
      </c>
      <c r="C36" s="75"/>
      <c r="D36" s="75"/>
      <c r="E36" s="75"/>
      <c r="F36" s="75"/>
      <c r="G36" s="76"/>
    </row>
    <row r="37" spans="1:7" ht="12.75" customHeight="1" x14ac:dyDescent="0.2">
      <c r="A37" s="74" t="s">
        <v>129</v>
      </c>
      <c r="B37" s="75" t="s">
        <v>176</v>
      </c>
      <c r="C37" s="75"/>
      <c r="D37" s="75"/>
      <c r="E37" s="75" t="s">
        <v>358</v>
      </c>
      <c r="F37" s="75"/>
      <c r="G37" s="76"/>
    </row>
    <row r="38" spans="1:7" ht="76.5" customHeight="1" x14ac:dyDescent="0.2">
      <c r="A38" s="74" t="s">
        <v>129</v>
      </c>
      <c r="B38" s="75" t="s">
        <v>361</v>
      </c>
      <c r="C38" s="75"/>
      <c r="D38" s="75"/>
      <c r="E38" s="75" t="s">
        <v>362</v>
      </c>
      <c r="F38" s="75"/>
      <c r="G38" s="76"/>
    </row>
    <row r="39" spans="1:7" ht="15.75" customHeight="1" x14ac:dyDescent="0.2">
      <c r="A39" s="74" t="s">
        <v>129</v>
      </c>
      <c r="B39" s="77" t="s">
        <v>137</v>
      </c>
      <c r="C39" s="77"/>
      <c r="D39" s="77"/>
      <c r="E39" s="77"/>
      <c r="F39" s="77"/>
      <c r="G39" s="78"/>
    </row>
    <row r="40" spans="1:7" ht="12.75" customHeight="1" x14ac:dyDescent="0.2">
      <c r="A40" s="96" t="s">
        <v>129</v>
      </c>
      <c r="B40" s="97" t="s">
        <v>138</v>
      </c>
      <c r="C40" s="97"/>
      <c r="D40" s="97"/>
      <c r="E40" s="79">
        <v>1</v>
      </c>
      <c r="F40" s="97"/>
      <c r="G40" s="80"/>
    </row>
    <row r="41" spans="1:7" ht="114.75" customHeight="1" x14ac:dyDescent="0.2">
      <c r="A41" s="90" t="s">
        <v>230</v>
      </c>
      <c r="B41" s="91" t="s">
        <v>364</v>
      </c>
      <c r="C41" s="81" t="s">
        <v>360</v>
      </c>
      <c r="D41" s="81">
        <v>15</v>
      </c>
      <c r="E41" s="81" t="s">
        <v>916</v>
      </c>
      <c r="F41" s="81" t="s">
        <v>917</v>
      </c>
      <c r="G41" s="82">
        <f>ROUND(45.6  * 15 * 1 * 1.3,2)</f>
        <v>889.2</v>
      </c>
    </row>
    <row r="42" spans="1:7" ht="15.75" customHeight="1" x14ac:dyDescent="0.2">
      <c r="A42" s="71" t="s">
        <v>129</v>
      </c>
      <c r="B42" s="72" t="s">
        <v>130</v>
      </c>
      <c r="C42" s="72"/>
      <c r="D42" s="72"/>
      <c r="E42" s="72"/>
      <c r="F42" s="72"/>
      <c r="G42" s="73"/>
    </row>
    <row r="43" spans="1:7" ht="12.75" customHeight="1" x14ac:dyDescent="0.2">
      <c r="A43" s="74" t="s">
        <v>129</v>
      </c>
      <c r="B43" s="75" t="s">
        <v>321</v>
      </c>
      <c r="C43" s="75"/>
      <c r="D43" s="75"/>
      <c r="E43" s="75"/>
      <c r="F43" s="75"/>
      <c r="G43" s="76"/>
    </row>
    <row r="44" spans="1:7" ht="12.75" customHeight="1" x14ac:dyDescent="0.2">
      <c r="A44" s="74" t="s">
        <v>129</v>
      </c>
      <c r="B44" s="75" t="s">
        <v>176</v>
      </c>
      <c r="C44" s="75"/>
      <c r="D44" s="75"/>
      <c r="E44" s="75" t="s">
        <v>358</v>
      </c>
      <c r="F44" s="75"/>
      <c r="G44" s="76"/>
    </row>
    <row r="45" spans="1:7" ht="76.5" customHeight="1" x14ac:dyDescent="0.2">
      <c r="A45" s="74" t="s">
        <v>129</v>
      </c>
      <c r="B45" s="75" t="s">
        <v>361</v>
      </c>
      <c r="C45" s="75"/>
      <c r="D45" s="75"/>
      <c r="E45" s="75" t="s">
        <v>362</v>
      </c>
      <c r="F45" s="75"/>
      <c r="G45" s="76"/>
    </row>
    <row r="46" spans="1:7" ht="15.75" customHeight="1" x14ac:dyDescent="0.2">
      <c r="A46" s="74" t="s">
        <v>129</v>
      </c>
      <c r="B46" s="77" t="s">
        <v>137</v>
      </c>
      <c r="C46" s="77"/>
      <c r="D46" s="77"/>
      <c r="E46" s="77"/>
      <c r="F46" s="77"/>
      <c r="G46" s="78"/>
    </row>
    <row r="47" spans="1:7" ht="12.75" customHeight="1" x14ac:dyDescent="0.2">
      <c r="A47" s="96" t="s">
        <v>129</v>
      </c>
      <c r="B47" s="97" t="s">
        <v>138</v>
      </c>
      <c r="C47" s="97"/>
      <c r="D47" s="97"/>
      <c r="E47" s="79">
        <v>1</v>
      </c>
      <c r="F47" s="97"/>
      <c r="G47" s="80"/>
    </row>
    <row r="48" spans="1:7" ht="102" customHeight="1" x14ac:dyDescent="0.2">
      <c r="A48" s="90" t="s">
        <v>365</v>
      </c>
      <c r="B48" s="91" t="s">
        <v>366</v>
      </c>
      <c r="C48" s="81" t="s">
        <v>360</v>
      </c>
      <c r="D48" s="81">
        <v>70</v>
      </c>
      <c r="E48" s="81" t="s">
        <v>918</v>
      </c>
      <c r="F48" s="81" t="s">
        <v>919</v>
      </c>
      <c r="G48" s="82">
        <f>ROUND(2.1  * 70 * 1,2)</f>
        <v>147</v>
      </c>
    </row>
    <row r="49" spans="1:7" ht="15.75" customHeight="1" x14ac:dyDescent="0.2">
      <c r="A49" s="71" t="s">
        <v>129</v>
      </c>
      <c r="B49" s="72" t="s">
        <v>130</v>
      </c>
      <c r="C49" s="72"/>
      <c r="D49" s="72"/>
      <c r="E49" s="72"/>
      <c r="F49" s="72"/>
      <c r="G49" s="73"/>
    </row>
    <row r="50" spans="1:7" ht="12.75" customHeight="1" x14ac:dyDescent="0.2">
      <c r="A50" s="74" t="s">
        <v>129</v>
      </c>
      <c r="B50" s="75" t="s">
        <v>321</v>
      </c>
      <c r="C50" s="75"/>
      <c r="D50" s="75"/>
      <c r="E50" s="75"/>
      <c r="F50" s="75"/>
      <c r="G50" s="76"/>
    </row>
    <row r="51" spans="1:7" ht="12.75" customHeight="1" x14ac:dyDescent="0.2">
      <c r="A51" s="74" t="s">
        <v>129</v>
      </c>
      <c r="B51" s="75" t="s">
        <v>176</v>
      </c>
      <c r="C51" s="75"/>
      <c r="D51" s="75"/>
      <c r="E51" s="75" t="s">
        <v>358</v>
      </c>
      <c r="F51" s="75"/>
      <c r="G51" s="76"/>
    </row>
    <row r="52" spans="1:7" ht="15.75" customHeight="1" x14ac:dyDescent="0.2">
      <c r="A52" s="74" t="s">
        <v>129</v>
      </c>
      <c r="B52" s="77" t="s">
        <v>137</v>
      </c>
      <c r="C52" s="77"/>
      <c r="D52" s="77"/>
      <c r="E52" s="77"/>
      <c r="F52" s="77"/>
      <c r="G52" s="78"/>
    </row>
    <row r="53" spans="1:7" ht="12.75" customHeight="1" x14ac:dyDescent="0.2">
      <c r="A53" s="96" t="s">
        <v>129</v>
      </c>
      <c r="B53" s="97" t="s">
        <v>138</v>
      </c>
      <c r="C53" s="97"/>
      <c r="D53" s="97"/>
      <c r="E53" s="79">
        <v>1</v>
      </c>
      <c r="F53" s="97"/>
      <c r="G53" s="80"/>
    </row>
    <row r="54" spans="1:7" ht="153" customHeight="1" x14ac:dyDescent="0.2">
      <c r="A54" s="90" t="s">
        <v>367</v>
      </c>
      <c r="B54" s="91" t="s">
        <v>368</v>
      </c>
      <c r="C54" s="81" t="s">
        <v>369</v>
      </c>
      <c r="D54" s="81">
        <v>4</v>
      </c>
      <c r="E54" s="81" t="s">
        <v>920</v>
      </c>
      <c r="F54" s="81" t="s">
        <v>921</v>
      </c>
      <c r="G54" s="82">
        <f>ROUND(22.9  * 4 * 1,2)</f>
        <v>91.6</v>
      </c>
    </row>
    <row r="55" spans="1:7" ht="15.75" customHeight="1" x14ac:dyDescent="0.2">
      <c r="A55" s="71" t="s">
        <v>129</v>
      </c>
      <c r="B55" s="72" t="s">
        <v>130</v>
      </c>
      <c r="C55" s="72"/>
      <c r="D55" s="72"/>
      <c r="E55" s="72"/>
      <c r="F55" s="72"/>
      <c r="G55" s="73"/>
    </row>
    <row r="56" spans="1:7" ht="12.75" customHeight="1" x14ac:dyDescent="0.2">
      <c r="A56" s="74" t="s">
        <v>129</v>
      </c>
      <c r="B56" s="75" t="s">
        <v>321</v>
      </c>
      <c r="C56" s="75"/>
      <c r="D56" s="75"/>
      <c r="E56" s="75"/>
      <c r="F56" s="75"/>
      <c r="G56" s="76"/>
    </row>
    <row r="57" spans="1:7" ht="12.75" customHeight="1" x14ac:dyDescent="0.2">
      <c r="A57" s="74" t="s">
        <v>129</v>
      </c>
      <c r="B57" s="75" t="s">
        <v>176</v>
      </c>
      <c r="C57" s="75"/>
      <c r="D57" s="75"/>
      <c r="E57" s="75" t="s">
        <v>358</v>
      </c>
      <c r="F57" s="75"/>
      <c r="G57" s="76"/>
    </row>
    <row r="58" spans="1:7" ht="15.75" customHeight="1" x14ac:dyDescent="0.2">
      <c r="A58" s="74" t="s">
        <v>129</v>
      </c>
      <c r="B58" s="77" t="s">
        <v>137</v>
      </c>
      <c r="C58" s="77"/>
      <c r="D58" s="77"/>
      <c r="E58" s="77"/>
      <c r="F58" s="77"/>
      <c r="G58" s="78"/>
    </row>
    <row r="59" spans="1:7" ht="12.75" customHeight="1" x14ac:dyDescent="0.2">
      <c r="A59" s="96" t="s">
        <v>129</v>
      </c>
      <c r="B59" s="97" t="s">
        <v>138</v>
      </c>
      <c r="C59" s="97"/>
      <c r="D59" s="97"/>
      <c r="E59" s="79">
        <v>1</v>
      </c>
      <c r="F59" s="97"/>
      <c r="G59" s="80"/>
    </row>
    <row r="60" spans="1:7" ht="12.75" customHeight="1" x14ac:dyDescent="0.2">
      <c r="A60" s="96" t="s">
        <v>370</v>
      </c>
      <c r="B60" s="83" t="s">
        <v>324</v>
      </c>
      <c r="C60" s="83"/>
      <c r="D60" s="83"/>
      <c r="E60" s="83"/>
      <c r="F60" s="83"/>
      <c r="G60" s="84">
        <f>ROUND((SUM($G$21:$G$54)),2)</f>
        <v>4033.2</v>
      </c>
    </row>
    <row r="61" spans="1:7" ht="76.5" customHeight="1" x14ac:dyDescent="0.2">
      <c r="A61" s="65" t="s">
        <v>371</v>
      </c>
      <c r="B61" s="68" t="s">
        <v>372</v>
      </c>
      <c r="C61" s="68"/>
      <c r="D61" s="68"/>
      <c r="E61" s="68" t="s">
        <v>373</v>
      </c>
      <c r="F61" s="68" t="s">
        <v>374</v>
      </c>
      <c r="G61" s="69">
        <f>ROUND(($G$60) * 8.75 / 100 * 1,2)</f>
        <v>352.91</v>
      </c>
    </row>
    <row r="62" spans="1:7" ht="89.25" customHeight="1" x14ac:dyDescent="0.2">
      <c r="A62" s="65" t="s">
        <v>375</v>
      </c>
      <c r="B62" s="68" t="s">
        <v>376</v>
      </c>
      <c r="C62" s="68"/>
      <c r="D62" s="68"/>
      <c r="E62" s="68" t="s">
        <v>377</v>
      </c>
      <c r="F62" s="68" t="s">
        <v>378</v>
      </c>
      <c r="G62" s="69">
        <f>ROUND((SUM($G$60:$G$61)) * 36.4 / 100 * 1,2)</f>
        <v>1596.54</v>
      </c>
    </row>
    <row r="63" spans="1:7" ht="76.5" customHeight="1" x14ac:dyDescent="0.2">
      <c r="A63" s="65" t="s">
        <v>379</v>
      </c>
      <c r="B63" s="68" t="s">
        <v>380</v>
      </c>
      <c r="C63" s="68"/>
      <c r="D63" s="68"/>
      <c r="E63" s="68" t="s">
        <v>381</v>
      </c>
      <c r="F63" s="68" t="s">
        <v>382</v>
      </c>
      <c r="G63" s="69">
        <f>ROUND((SUM($G$60:$G$61)) * 2.5 * 1 * 6 / 100 * 1,2)</f>
        <v>657.92</v>
      </c>
    </row>
    <row r="64" spans="1:7" ht="25.5" customHeight="1" x14ac:dyDescent="0.2">
      <c r="A64" s="65" t="s">
        <v>383</v>
      </c>
      <c r="B64" s="66" t="s">
        <v>325</v>
      </c>
      <c r="C64" s="66"/>
      <c r="D64" s="66"/>
      <c r="E64" s="66"/>
      <c r="F64" s="66"/>
      <c r="G64" s="70">
        <f>ROUND((SUM($G$60:$G$63)),2)</f>
        <v>6640.57</v>
      </c>
    </row>
    <row r="65" spans="1:7" ht="12.75" customHeight="1" x14ac:dyDescent="0.2">
      <c r="A65" s="65" t="s">
        <v>7</v>
      </c>
      <c r="B65" s="66" t="s">
        <v>115</v>
      </c>
      <c r="C65" s="66"/>
      <c r="D65" s="66"/>
      <c r="E65" s="66" t="s">
        <v>326</v>
      </c>
      <c r="F65" s="66"/>
      <c r="G65" s="67"/>
    </row>
    <row r="66" spans="1:7" ht="280.5" customHeight="1" x14ac:dyDescent="0.2">
      <c r="A66" s="85" t="s">
        <v>125</v>
      </c>
      <c r="B66" s="86" t="s">
        <v>384</v>
      </c>
      <c r="C66" s="87" t="s">
        <v>385</v>
      </c>
      <c r="D66" s="87">
        <v>4</v>
      </c>
      <c r="E66" s="87" t="s">
        <v>922</v>
      </c>
      <c r="F66" s="87" t="s">
        <v>923</v>
      </c>
      <c r="G66" s="88">
        <f>ROUND(47.1  * 4 * 1,2)</f>
        <v>188.4</v>
      </c>
    </row>
    <row r="67" spans="1:7" ht="15.75" customHeight="1" x14ac:dyDescent="0.2">
      <c r="A67" s="71" t="s">
        <v>129</v>
      </c>
      <c r="B67" s="72" t="s">
        <v>130</v>
      </c>
      <c r="C67" s="72"/>
      <c r="D67" s="72"/>
      <c r="E67" s="72"/>
      <c r="F67" s="72"/>
      <c r="G67" s="73"/>
    </row>
    <row r="68" spans="1:7" ht="12.75" customHeight="1" x14ac:dyDescent="0.2">
      <c r="A68" s="74" t="s">
        <v>129</v>
      </c>
      <c r="B68" s="75" t="s">
        <v>321</v>
      </c>
      <c r="C68" s="75"/>
      <c r="D68" s="75"/>
      <c r="E68" s="75"/>
      <c r="F68" s="75"/>
      <c r="G68" s="76"/>
    </row>
    <row r="69" spans="1:7" ht="12.75" customHeight="1" x14ac:dyDescent="0.2">
      <c r="A69" s="74" t="s">
        <v>129</v>
      </c>
      <c r="B69" s="75" t="s">
        <v>176</v>
      </c>
      <c r="C69" s="75"/>
      <c r="D69" s="75"/>
      <c r="E69" s="75" t="s">
        <v>358</v>
      </c>
      <c r="F69" s="75"/>
      <c r="G69" s="76"/>
    </row>
    <row r="70" spans="1:7" ht="15.75" customHeight="1" x14ac:dyDescent="0.2">
      <c r="A70" s="74" t="s">
        <v>129</v>
      </c>
      <c r="B70" s="77" t="s">
        <v>137</v>
      </c>
      <c r="C70" s="77"/>
      <c r="D70" s="77"/>
      <c r="E70" s="77"/>
      <c r="F70" s="77"/>
      <c r="G70" s="78"/>
    </row>
    <row r="71" spans="1:7" ht="12.75" customHeight="1" x14ac:dyDescent="0.2">
      <c r="A71" s="96" t="s">
        <v>129</v>
      </c>
      <c r="B71" s="97" t="s">
        <v>138</v>
      </c>
      <c r="C71" s="97"/>
      <c r="D71" s="97"/>
      <c r="E71" s="79">
        <v>1</v>
      </c>
      <c r="F71" s="97"/>
      <c r="G71" s="80"/>
    </row>
    <row r="72" spans="1:7" ht="369.75" customHeight="1" x14ac:dyDescent="0.2">
      <c r="A72" s="206" t="s">
        <v>139</v>
      </c>
      <c r="B72" s="207" t="s">
        <v>386</v>
      </c>
      <c r="C72" s="202" t="s">
        <v>385</v>
      </c>
      <c r="D72" s="202">
        <v>4</v>
      </c>
      <c r="E72" s="202" t="s">
        <v>924</v>
      </c>
      <c r="F72" s="202" t="s">
        <v>925</v>
      </c>
      <c r="G72" s="205">
        <f>ROUND(193  * 4 * 1,2)</f>
        <v>772</v>
      </c>
    </row>
    <row r="73" spans="1:7" ht="12.75" customHeight="1" x14ac:dyDescent="0.2">
      <c r="A73" s="206"/>
      <c r="B73" s="207"/>
      <c r="C73" s="202"/>
      <c r="D73" s="202"/>
      <c r="E73" s="202"/>
      <c r="F73" s="202"/>
      <c r="G73" s="205"/>
    </row>
    <row r="74" spans="1:7" ht="12.75" customHeight="1" x14ac:dyDescent="0.2">
      <c r="A74" s="206"/>
      <c r="B74" s="207"/>
      <c r="C74" s="202"/>
      <c r="D74" s="202"/>
      <c r="E74" s="202"/>
      <c r="F74" s="202"/>
      <c r="G74" s="205"/>
    </row>
    <row r="75" spans="1:7" ht="15.75" customHeight="1" x14ac:dyDescent="0.2">
      <c r="A75" s="71" t="s">
        <v>129</v>
      </c>
      <c r="B75" s="72" t="s">
        <v>130</v>
      </c>
      <c r="C75" s="72"/>
      <c r="D75" s="72"/>
      <c r="E75" s="72"/>
      <c r="F75" s="72"/>
      <c r="G75" s="73"/>
    </row>
    <row r="76" spans="1:7" ht="12.75" customHeight="1" x14ac:dyDescent="0.2">
      <c r="A76" s="74" t="s">
        <v>129</v>
      </c>
      <c r="B76" s="75" t="s">
        <v>321</v>
      </c>
      <c r="C76" s="75"/>
      <c r="D76" s="75"/>
      <c r="E76" s="75"/>
      <c r="F76" s="75"/>
      <c r="G76" s="76"/>
    </row>
    <row r="77" spans="1:7" ht="12.75" customHeight="1" x14ac:dyDescent="0.2">
      <c r="A77" s="74" t="s">
        <v>129</v>
      </c>
      <c r="B77" s="75" t="s">
        <v>176</v>
      </c>
      <c r="C77" s="75"/>
      <c r="D77" s="75"/>
      <c r="E77" s="75" t="s">
        <v>358</v>
      </c>
      <c r="F77" s="75"/>
      <c r="G77" s="76"/>
    </row>
    <row r="78" spans="1:7" ht="15.75" customHeight="1" x14ac:dyDescent="0.2">
      <c r="A78" s="74" t="s">
        <v>129</v>
      </c>
      <c r="B78" s="77" t="s">
        <v>137</v>
      </c>
      <c r="C78" s="77"/>
      <c r="D78" s="77"/>
      <c r="E78" s="77"/>
      <c r="F78" s="77"/>
      <c r="G78" s="78"/>
    </row>
    <row r="79" spans="1:7" ht="12.75" customHeight="1" x14ac:dyDescent="0.2">
      <c r="A79" s="96" t="s">
        <v>129</v>
      </c>
      <c r="B79" s="97" t="s">
        <v>138</v>
      </c>
      <c r="C79" s="97"/>
      <c r="D79" s="97"/>
      <c r="E79" s="79">
        <v>1</v>
      </c>
      <c r="F79" s="97"/>
      <c r="G79" s="80"/>
    </row>
    <row r="80" spans="1:7" ht="216.75" customHeight="1" x14ac:dyDescent="0.2">
      <c r="A80" s="90" t="s">
        <v>145</v>
      </c>
      <c r="B80" s="91" t="s">
        <v>387</v>
      </c>
      <c r="C80" s="81" t="s">
        <v>385</v>
      </c>
      <c r="D80" s="81">
        <v>4</v>
      </c>
      <c r="E80" s="81" t="s">
        <v>926</v>
      </c>
      <c r="F80" s="81" t="s">
        <v>927</v>
      </c>
      <c r="G80" s="82">
        <f>ROUND(45.5  * 4 * 1,2)</f>
        <v>182</v>
      </c>
    </row>
    <row r="81" spans="1:7" ht="15.75" customHeight="1" x14ac:dyDescent="0.2">
      <c r="A81" s="71" t="s">
        <v>129</v>
      </c>
      <c r="B81" s="72" t="s">
        <v>130</v>
      </c>
      <c r="C81" s="72"/>
      <c r="D81" s="72"/>
      <c r="E81" s="72"/>
      <c r="F81" s="72"/>
      <c r="G81" s="73"/>
    </row>
    <row r="82" spans="1:7" ht="12.75" customHeight="1" x14ac:dyDescent="0.2">
      <c r="A82" s="74" t="s">
        <v>129</v>
      </c>
      <c r="B82" s="75" t="s">
        <v>321</v>
      </c>
      <c r="C82" s="75"/>
      <c r="D82" s="75"/>
      <c r="E82" s="75"/>
      <c r="F82" s="75"/>
      <c r="G82" s="76"/>
    </row>
    <row r="83" spans="1:7" ht="12.75" customHeight="1" x14ac:dyDescent="0.2">
      <c r="A83" s="74" t="s">
        <v>129</v>
      </c>
      <c r="B83" s="75" t="s">
        <v>176</v>
      </c>
      <c r="C83" s="75"/>
      <c r="D83" s="75"/>
      <c r="E83" s="75" t="s">
        <v>358</v>
      </c>
      <c r="F83" s="75"/>
      <c r="G83" s="76"/>
    </row>
    <row r="84" spans="1:7" ht="15.75" customHeight="1" x14ac:dyDescent="0.2">
      <c r="A84" s="74" t="s">
        <v>129</v>
      </c>
      <c r="B84" s="77" t="s">
        <v>137</v>
      </c>
      <c r="C84" s="77"/>
      <c r="D84" s="77"/>
      <c r="E84" s="77"/>
      <c r="F84" s="77"/>
      <c r="G84" s="78"/>
    </row>
    <row r="85" spans="1:7" ht="12.75" customHeight="1" x14ac:dyDescent="0.2">
      <c r="A85" s="96" t="s">
        <v>129</v>
      </c>
      <c r="B85" s="97" t="s">
        <v>138</v>
      </c>
      <c r="C85" s="97"/>
      <c r="D85" s="97"/>
      <c r="E85" s="79">
        <v>1</v>
      </c>
      <c r="F85" s="97"/>
      <c r="G85" s="80"/>
    </row>
    <row r="86" spans="1:7" ht="178.5" customHeight="1" x14ac:dyDescent="0.2">
      <c r="A86" s="90" t="s">
        <v>147</v>
      </c>
      <c r="B86" s="91" t="s">
        <v>388</v>
      </c>
      <c r="C86" s="81" t="s">
        <v>385</v>
      </c>
      <c r="D86" s="81">
        <v>4</v>
      </c>
      <c r="E86" s="81" t="s">
        <v>928</v>
      </c>
      <c r="F86" s="81" t="s">
        <v>929</v>
      </c>
      <c r="G86" s="82">
        <f>ROUND(14.4  * 4 * 1,2)</f>
        <v>57.6</v>
      </c>
    </row>
    <row r="87" spans="1:7" ht="15.75" customHeight="1" x14ac:dyDescent="0.2">
      <c r="A87" s="71" t="s">
        <v>129</v>
      </c>
      <c r="B87" s="72" t="s">
        <v>130</v>
      </c>
      <c r="C87" s="72"/>
      <c r="D87" s="72"/>
      <c r="E87" s="72"/>
      <c r="F87" s="72"/>
      <c r="G87" s="73"/>
    </row>
    <row r="88" spans="1:7" ht="12.75" customHeight="1" x14ac:dyDescent="0.2">
      <c r="A88" s="74" t="s">
        <v>129</v>
      </c>
      <c r="B88" s="75" t="s">
        <v>321</v>
      </c>
      <c r="C88" s="75"/>
      <c r="D88" s="75"/>
      <c r="E88" s="75"/>
      <c r="F88" s="75"/>
      <c r="G88" s="76"/>
    </row>
    <row r="89" spans="1:7" ht="12.75" customHeight="1" x14ac:dyDescent="0.2">
      <c r="A89" s="74" t="s">
        <v>129</v>
      </c>
      <c r="B89" s="75" t="s">
        <v>176</v>
      </c>
      <c r="C89" s="75"/>
      <c r="D89" s="75"/>
      <c r="E89" s="75" t="s">
        <v>358</v>
      </c>
      <c r="F89" s="75"/>
      <c r="G89" s="76"/>
    </row>
    <row r="90" spans="1:7" ht="15.75" customHeight="1" x14ac:dyDescent="0.2">
      <c r="A90" s="74" t="s">
        <v>129</v>
      </c>
      <c r="B90" s="77" t="s">
        <v>137</v>
      </c>
      <c r="C90" s="77"/>
      <c r="D90" s="77"/>
      <c r="E90" s="77"/>
      <c r="F90" s="77"/>
      <c r="G90" s="78"/>
    </row>
    <row r="91" spans="1:7" ht="12.75" customHeight="1" x14ac:dyDescent="0.2">
      <c r="A91" s="96" t="s">
        <v>129</v>
      </c>
      <c r="B91" s="97" t="s">
        <v>138</v>
      </c>
      <c r="C91" s="97"/>
      <c r="D91" s="97"/>
      <c r="E91" s="79">
        <v>1</v>
      </c>
      <c r="F91" s="97"/>
      <c r="G91" s="80"/>
    </row>
    <row r="92" spans="1:7" ht="165.75" customHeight="1" x14ac:dyDescent="0.2">
      <c r="A92" s="90" t="s">
        <v>240</v>
      </c>
      <c r="B92" s="91" t="s">
        <v>389</v>
      </c>
      <c r="C92" s="81" t="s">
        <v>385</v>
      </c>
      <c r="D92" s="81">
        <v>2</v>
      </c>
      <c r="E92" s="81" t="s">
        <v>930</v>
      </c>
      <c r="F92" s="81" t="s">
        <v>931</v>
      </c>
      <c r="G92" s="82">
        <f>ROUND(3.8  * 2 * 1,2)</f>
        <v>7.6</v>
      </c>
    </row>
    <row r="93" spans="1:7" ht="15.75" customHeight="1" x14ac:dyDescent="0.2">
      <c r="A93" s="71" t="s">
        <v>129</v>
      </c>
      <c r="B93" s="72" t="s">
        <v>130</v>
      </c>
      <c r="C93" s="72"/>
      <c r="D93" s="72"/>
      <c r="E93" s="72"/>
      <c r="F93" s="72"/>
      <c r="G93" s="73"/>
    </row>
    <row r="94" spans="1:7" ht="12.75" customHeight="1" x14ac:dyDescent="0.2">
      <c r="A94" s="74" t="s">
        <v>129</v>
      </c>
      <c r="B94" s="75" t="s">
        <v>321</v>
      </c>
      <c r="C94" s="75"/>
      <c r="D94" s="75"/>
      <c r="E94" s="75"/>
      <c r="F94" s="75"/>
      <c r="G94" s="76"/>
    </row>
    <row r="95" spans="1:7" ht="12.75" customHeight="1" x14ac:dyDescent="0.2">
      <c r="A95" s="74" t="s">
        <v>129</v>
      </c>
      <c r="B95" s="75" t="s">
        <v>176</v>
      </c>
      <c r="C95" s="75"/>
      <c r="D95" s="75"/>
      <c r="E95" s="75" t="s">
        <v>358</v>
      </c>
      <c r="F95" s="75"/>
      <c r="G95" s="76"/>
    </row>
    <row r="96" spans="1:7" ht="15.75" customHeight="1" x14ac:dyDescent="0.2">
      <c r="A96" s="74" t="s">
        <v>129</v>
      </c>
      <c r="B96" s="77" t="s">
        <v>137</v>
      </c>
      <c r="C96" s="77"/>
      <c r="D96" s="77"/>
      <c r="E96" s="77"/>
      <c r="F96" s="77"/>
      <c r="G96" s="78"/>
    </row>
    <row r="97" spans="1:7" ht="12.75" customHeight="1" x14ac:dyDescent="0.2">
      <c r="A97" s="96" t="s">
        <v>129</v>
      </c>
      <c r="B97" s="97" t="s">
        <v>138</v>
      </c>
      <c r="C97" s="97"/>
      <c r="D97" s="97"/>
      <c r="E97" s="79">
        <v>1</v>
      </c>
      <c r="F97" s="97"/>
      <c r="G97" s="80"/>
    </row>
    <row r="98" spans="1:7" ht="25.5" customHeight="1" x14ac:dyDescent="0.2">
      <c r="A98" s="96" t="s">
        <v>244</v>
      </c>
      <c r="B98" s="83" t="s">
        <v>327</v>
      </c>
      <c r="C98" s="83"/>
      <c r="D98" s="83"/>
      <c r="E98" s="83"/>
      <c r="F98" s="83"/>
      <c r="G98" s="84">
        <f>ROUND((SUM($G$66:$G$92)),2)</f>
        <v>1207.5999999999999</v>
      </c>
    </row>
    <row r="99" spans="1:7" ht="25.5" customHeight="1" x14ac:dyDescent="0.2">
      <c r="A99" s="65" t="s">
        <v>248</v>
      </c>
      <c r="B99" s="66" t="s">
        <v>328</v>
      </c>
      <c r="C99" s="66"/>
      <c r="D99" s="66"/>
      <c r="E99" s="66"/>
      <c r="F99" s="66"/>
      <c r="G99" s="70">
        <f>ROUND(($G$98),2)</f>
        <v>1207.5999999999999</v>
      </c>
    </row>
    <row r="100" spans="1:7" ht="12.75" customHeight="1" x14ac:dyDescent="0.2">
      <c r="A100" s="65" t="s">
        <v>23</v>
      </c>
      <c r="B100" s="66" t="s">
        <v>115</v>
      </c>
      <c r="C100" s="66"/>
      <c r="D100" s="66"/>
      <c r="E100" s="66" t="s">
        <v>329</v>
      </c>
      <c r="F100" s="66"/>
      <c r="G100" s="67"/>
    </row>
    <row r="101" spans="1:7" ht="191.25" customHeight="1" x14ac:dyDescent="0.2">
      <c r="A101" s="85" t="s">
        <v>149</v>
      </c>
      <c r="B101" s="86" t="s">
        <v>354</v>
      </c>
      <c r="C101" s="87" t="s">
        <v>355</v>
      </c>
      <c r="D101" s="87">
        <v>1</v>
      </c>
      <c r="E101" s="87" t="s">
        <v>390</v>
      </c>
      <c r="F101" s="87" t="s">
        <v>391</v>
      </c>
      <c r="G101" s="88">
        <f>ROUND(18.5  * 1 * 1,2)</f>
        <v>18.5</v>
      </c>
    </row>
    <row r="102" spans="1:7" ht="15.75" customHeight="1" x14ac:dyDescent="0.2">
      <c r="A102" s="71" t="s">
        <v>129</v>
      </c>
      <c r="B102" s="72" t="s">
        <v>130</v>
      </c>
      <c r="C102" s="72"/>
      <c r="D102" s="72"/>
      <c r="E102" s="72"/>
      <c r="F102" s="72"/>
      <c r="G102" s="73"/>
    </row>
    <row r="103" spans="1:7" ht="12.75" customHeight="1" x14ac:dyDescent="0.2">
      <c r="A103" s="74" t="s">
        <v>129</v>
      </c>
      <c r="B103" s="75" t="s">
        <v>321</v>
      </c>
      <c r="C103" s="75"/>
      <c r="D103" s="75"/>
      <c r="E103" s="75"/>
      <c r="F103" s="75"/>
      <c r="G103" s="76"/>
    </row>
    <row r="104" spans="1:7" ht="12.75" customHeight="1" x14ac:dyDescent="0.2">
      <c r="A104" s="74" t="s">
        <v>129</v>
      </c>
      <c r="B104" s="75" t="s">
        <v>176</v>
      </c>
      <c r="C104" s="75"/>
      <c r="D104" s="75"/>
      <c r="E104" s="75" t="s">
        <v>358</v>
      </c>
      <c r="F104" s="75"/>
      <c r="G104" s="76"/>
    </row>
    <row r="105" spans="1:7" ht="15.75" customHeight="1" x14ac:dyDescent="0.2">
      <c r="A105" s="74" t="s">
        <v>129</v>
      </c>
      <c r="B105" s="77" t="s">
        <v>137</v>
      </c>
      <c r="C105" s="77"/>
      <c r="D105" s="77"/>
      <c r="E105" s="77"/>
      <c r="F105" s="77"/>
      <c r="G105" s="78"/>
    </row>
    <row r="106" spans="1:7" ht="12.75" customHeight="1" x14ac:dyDescent="0.2">
      <c r="A106" s="96" t="s">
        <v>129</v>
      </c>
      <c r="B106" s="97" t="s">
        <v>138</v>
      </c>
      <c r="C106" s="97"/>
      <c r="D106" s="97"/>
      <c r="E106" s="79">
        <v>1</v>
      </c>
      <c r="F106" s="97"/>
      <c r="G106" s="80"/>
    </row>
    <row r="107" spans="1:7" ht="140.25" customHeight="1" x14ac:dyDescent="0.2">
      <c r="A107" s="90" t="s">
        <v>160</v>
      </c>
      <c r="B107" s="91" t="s">
        <v>392</v>
      </c>
      <c r="C107" s="81" t="s">
        <v>393</v>
      </c>
      <c r="D107" s="81">
        <v>30</v>
      </c>
      <c r="E107" s="81" t="s">
        <v>394</v>
      </c>
      <c r="F107" s="81" t="s">
        <v>395</v>
      </c>
      <c r="G107" s="82">
        <f>ROUND(9  * 30 * 1,2)</f>
        <v>270</v>
      </c>
    </row>
    <row r="108" spans="1:7" ht="15.75" customHeight="1" x14ac:dyDescent="0.2">
      <c r="A108" s="71" t="s">
        <v>129</v>
      </c>
      <c r="B108" s="72" t="s">
        <v>130</v>
      </c>
      <c r="C108" s="72"/>
      <c r="D108" s="72"/>
      <c r="E108" s="72"/>
      <c r="F108" s="72"/>
      <c r="G108" s="73"/>
    </row>
    <row r="109" spans="1:7" ht="12.75" customHeight="1" x14ac:dyDescent="0.2">
      <c r="A109" s="74" t="s">
        <v>129</v>
      </c>
      <c r="B109" s="75" t="s">
        <v>321</v>
      </c>
      <c r="C109" s="75"/>
      <c r="D109" s="75"/>
      <c r="E109" s="75"/>
      <c r="F109" s="75"/>
      <c r="G109" s="76"/>
    </row>
    <row r="110" spans="1:7" ht="12.75" customHeight="1" x14ac:dyDescent="0.2">
      <c r="A110" s="74" t="s">
        <v>129</v>
      </c>
      <c r="B110" s="75" t="s">
        <v>176</v>
      </c>
      <c r="C110" s="75"/>
      <c r="D110" s="75"/>
      <c r="E110" s="75" t="s">
        <v>358</v>
      </c>
      <c r="F110" s="75"/>
      <c r="G110" s="76"/>
    </row>
    <row r="111" spans="1:7" ht="15.75" customHeight="1" x14ac:dyDescent="0.2">
      <c r="A111" s="74" t="s">
        <v>129</v>
      </c>
      <c r="B111" s="77" t="s">
        <v>137</v>
      </c>
      <c r="C111" s="77"/>
      <c r="D111" s="77"/>
      <c r="E111" s="77"/>
      <c r="F111" s="77"/>
      <c r="G111" s="78"/>
    </row>
    <row r="112" spans="1:7" ht="12.75" customHeight="1" x14ac:dyDescent="0.2">
      <c r="A112" s="96" t="s">
        <v>129</v>
      </c>
      <c r="B112" s="97" t="s">
        <v>138</v>
      </c>
      <c r="C112" s="97"/>
      <c r="D112" s="97"/>
      <c r="E112" s="79">
        <v>1</v>
      </c>
      <c r="F112" s="97"/>
      <c r="G112" s="80"/>
    </row>
    <row r="113" spans="1:7" ht="140.25" customHeight="1" x14ac:dyDescent="0.2">
      <c r="A113" s="90" t="s">
        <v>166</v>
      </c>
      <c r="B113" s="91" t="s">
        <v>396</v>
      </c>
      <c r="C113" s="81" t="s">
        <v>397</v>
      </c>
      <c r="D113" s="81">
        <v>9</v>
      </c>
      <c r="E113" s="81" t="s">
        <v>398</v>
      </c>
      <c r="F113" s="81" t="s">
        <v>399</v>
      </c>
      <c r="G113" s="82">
        <f>ROUND(3.6  * 9 * 1,2)</f>
        <v>32.4</v>
      </c>
    </row>
    <row r="114" spans="1:7" ht="15.75" customHeight="1" x14ac:dyDescent="0.2">
      <c r="A114" s="71" t="s">
        <v>129</v>
      </c>
      <c r="B114" s="72" t="s">
        <v>130</v>
      </c>
      <c r="C114" s="72"/>
      <c r="D114" s="72"/>
      <c r="E114" s="72"/>
      <c r="F114" s="72"/>
      <c r="G114" s="73"/>
    </row>
    <row r="115" spans="1:7" ht="12.75" customHeight="1" x14ac:dyDescent="0.2">
      <c r="A115" s="74" t="s">
        <v>129</v>
      </c>
      <c r="B115" s="75" t="s">
        <v>321</v>
      </c>
      <c r="C115" s="75"/>
      <c r="D115" s="75"/>
      <c r="E115" s="75"/>
      <c r="F115" s="75"/>
      <c r="G115" s="76"/>
    </row>
    <row r="116" spans="1:7" ht="12.75" customHeight="1" x14ac:dyDescent="0.2">
      <c r="A116" s="74" t="s">
        <v>129</v>
      </c>
      <c r="B116" s="75" t="s">
        <v>176</v>
      </c>
      <c r="C116" s="75"/>
      <c r="D116" s="75"/>
      <c r="E116" s="75" t="s">
        <v>358</v>
      </c>
      <c r="F116" s="75"/>
      <c r="G116" s="76"/>
    </row>
    <row r="117" spans="1:7" ht="15.75" customHeight="1" x14ac:dyDescent="0.2">
      <c r="A117" s="74" t="s">
        <v>129</v>
      </c>
      <c r="B117" s="77" t="s">
        <v>137</v>
      </c>
      <c r="C117" s="77"/>
      <c r="D117" s="77"/>
      <c r="E117" s="77"/>
      <c r="F117" s="77"/>
      <c r="G117" s="78"/>
    </row>
    <row r="118" spans="1:7" ht="12.75" customHeight="1" x14ac:dyDescent="0.2">
      <c r="A118" s="96" t="s">
        <v>129</v>
      </c>
      <c r="B118" s="97" t="s">
        <v>138</v>
      </c>
      <c r="C118" s="97"/>
      <c r="D118" s="97"/>
      <c r="E118" s="79">
        <v>1</v>
      </c>
      <c r="F118" s="97"/>
      <c r="G118" s="80"/>
    </row>
    <row r="119" spans="1:7" ht="127.5" customHeight="1" x14ac:dyDescent="0.2">
      <c r="A119" s="90" t="s">
        <v>171</v>
      </c>
      <c r="B119" s="91" t="s">
        <v>400</v>
      </c>
      <c r="C119" s="81" t="s">
        <v>401</v>
      </c>
      <c r="D119" s="81">
        <v>1</v>
      </c>
      <c r="E119" s="81" t="s">
        <v>402</v>
      </c>
      <c r="F119" s="81" t="s">
        <v>403</v>
      </c>
      <c r="G119" s="82">
        <f>ROUND(67.39  * 1,2)</f>
        <v>67.39</v>
      </c>
    </row>
    <row r="120" spans="1:7" ht="15.75" customHeight="1" x14ac:dyDescent="0.2">
      <c r="A120" s="71" t="s">
        <v>129</v>
      </c>
      <c r="B120" s="72" t="s">
        <v>130</v>
      </c>
      <c r="C120" s="72"/>
      <c r="D120" s="72"/>
      <c r="E120" s="72"/>
      <c r="F120" s="72"/>
      <c r="G120" s="73"/>
    </row>
    <row r="121" spans="1:7" ht="12.75" customHeight="1" x14ac:dyDescent="0.2">
      <c r="A121" s="74" t="s">
        <v>129</v>
      </c>
      <c r="B121" s="75" t="s">
        <v>321</v>
      </c>
      <c r="C121" s="75"/>
      <c r="D121" s="75"/>
      <c r="E121" s="75"/>
      <c r="F121" s="75"/>
      <c r="G121" s="76"/>
    </row>
    <row r="122" spans="1:7" ht="12.75" customHeight="1" x14ac:dyDescent="0.2">
      <c r="A122" s="96" t="s">
        <v>129</v>
      </c>
      <c r="B122" s="97" t="s">
        <v>176</v>
      </c>
      <c r="C122" s="97"/>
      <c r="D122" s="97"/>
      <c r="E122" s="97" t="s">
        <v>404</v>
      </c>
      <c r="F122" s="97"/>
      <c r="G122" s="80"/>
    </row>
    <row r="123" spans="1:7" ht="25.5" customHeight="1" x14ac:dyDescent="0.2">
      <c r="A123" s="96" t="s">
        <v>180</v>
      </c>
      <c r="B123" s="83" t="s">
        <v>332</v>
      </c>
      <c r="C123" s="83"/>
      <c r="D123" s="83"/>
      <c r="E123" s="83"/>
      <c r="F123" s="83"/>
      <c r="G123" s="84">
        <f>ROUND((SUM($G$101:$G$119)),2)</f>
        <v>388.29</v>
      </c>
    </row>
    <row r="124" spans="1:7" ht="25.5" customHeight="1" x14ac:dyDescent="0.2">
      <c r="A124" s="65" t="s">
        <v>184</v>
      </c>
      <c r="B124" s="66" t="s">
        <v>335</v>
      </c>
      <c r="C124" s="66"/>
      <c r="D124" s="66"/>
      <c r="E124" s="66"/>
      <c r="F124" s="66"/>
      <c r="G124" s="70">
        <f>ROUND(($G$123),2)</f>
        <v>388.29</v>
      </c>
    </row>
    <row r="125" spans="1:7" ht="12.75" customHeight="1" x14ac:dyDescent="0.2">
      <c r="A125" s="65" t="s">
        <v>24</v>
      </c>
      <c r="B125" s="66" t="s">
        <v>115</v>
      </c>
      <c r="C125" s="66"/>
      <c r="D125" s="66"/>
      <c r="E125" s="66" t="s">
        <v>336</v>
      </c>
      <c r="F125" s="66"/>
      <c r="G125" s="67"/>
    </row>
    <row r="126" spans="1:7" ht="12.75" customHeight="1" x14ac:dyDescent="0.2">
      <c r="A126" s="65" t="s">
        <v>289</v>
      </c>
      <c r="B126" s="66" t="s">
        <v>343</v>
      </c>
      <c r="C126" s="66"/>
      <c r="D126" s="66"/>
      <c r="E126" s="66"/>
      <c r="F126" s="66"/>
      <c r="G126" s="70">
        <f>ROUND(0,2)</f>
        <v>0</v>
      </c>
    </row>
    <row r="127" spans="1:7" ht="12.75" customHeight="1" x14ac:dyDescent="0.2">
      <c r="A127" s="65" t="s">
        <v>25</v>
      </c>
      <c r="B127" s="66" t="s">
        <v>213</v>
      </c>
      <c r="C127" s="66"/>
      <c r="D127" s="66"/>
      <c r="E127" s="66"/>
      <c r="F127" s="66"/>
      <c r="G127" s="70">
        <f>ROUND(($G$64 + $G$99 +SUM( $G$124:$G$126)),2)</f>
        <v>8236.4599999999991</v>
      </c>
    </row>
    <row r="128" spans="1:7" ht="63.75" customHeight="1" x14ac:dyDescent="0.2">
      <c r="A128" s="65" t="s">
        <v>26</v>
      </c>
      <c r="B128" s="68" t="s">
        <v>344</v>
      </c>
      <c r="C128" s="68"/>
      <c r="D128" s="68"/>
      <c r="E128" s="68" t="s">
        <v>405</v>
      </c>
      <c r="F128" s="68" t="s">
        <v>346</v>
      </c>
      <c r="G128" s="69">
        <f>ROUND(($G$127) * 0.15 * 1,2)</f>
        <v>1235.47</v>
      </c>
    </row>
    <row r="129" spans="1:7" ht="51" customHeight="1" x14ac:dyDescent="0.2">
      <c r="A129" s="65" t="s">
        <v>27</v>
      </c>
      <c r="B129" s="68" t="s">
        <v>406</v>
      </c>
      <c r="C129" s="68"/>
      <c r="D129" s="68"/>
      <c r="E129" s="68" t="s">
        <v>348</v>
      </c>
      <c r="F129" s="68" t="s">
        <v>407</v>
      </c>
      <c r="G129" s="69">
        <f>ROUND((SUM($G$127:$G$128)) * 54.75 * 1,2)</f>
        <v>518588.17</v>
      </c>
    </row>
    <row r="130" spans="1:7" ht="12.75" customHeight="1" x14ac:dyDescent="0.2">
      <c r="A130" s="65" t="s">
        <v>28</v>
      </c>
      <c r="B130" s="66" t="s">
        <v>214</v>
      </c>
      <c r="C130" s="66"/>
      <c r="D130" s="66"/>
      <c r="E130" s="66"/>
      <c r="F130" s="66"/>
      <c r="G130" s="70">
        <f>ROUND(($G$129),2)</f>
        <v>518588.17</v>
      </c>
    </row>
    <row r="131" spans="1:7" ht="12.75" customHeight="1" x14ac:dyDescent="0.2"/>
    <row r="134" spans="1:7" s="93" customFormat="1" ht="24.95" customHeight="1" x14ac:dyDescent="0.25">
      <c r="A134" s="189" t="s">
        <v>215</v>
      </c>
      <c r="B134" s="189"/>
      <c r="C134" s="189"/>
      <c r="D134" s="189"/>
      <c r="E134" s="189"/>
      <c r="F134" s="189"/>
      <c r="G134" s="189"/>
    </row>
  </sheetData>
  <mergeCells count="23">
    <mergeCell ref="A134:B134"/>
    <mergeCell ref="C134:G134"/>
    <mergeCell ref="A15:G15"/>
    <mergeCell ref="A17:G17"/>
    <mergeCell ref="A72:A74"/>
    <mergeCell ref="B72:B74"/>
    <mergeCell ref="C72:C74"/>
    <mergeCell ref="D72:D74"/>
    <mergeCell ref="E72:E74"/>
    <mergeCell ref="F72:F74"/>
    <mergeCell ref="G72:G74"/>
    <mergeCell ref="A9:C9"/>
    <mergeCell ref="D9:G9"/>
    <mergeCell ref="A11:C11"/>
    <mergeCell ref="D11:G12"/>
    <mergeCell ref="A13:C13"/>
    <mergeCell ref="D13:G14"/>
    <mergeCell ref="A1:B1"/>
    <mergeCell ref="C1:G1"/>
    <mergeCell ref="B4:F4"/>
    <mergeCell ref="B5:F5"/>
    <mergeCell ref="A7:C7"/>
    <mergeCell ref="D7:G7"/>
  </mergeCells>
  <pageMargins left="0.39374999999999999" right="0.39374999999999999" top="0.59027777777777779" bottom="0.82777777777777783" header="0.51180555555555562" footer="0.59027777777777779"/>
  <pageSetup paperSize="9" scale="99" orientation="portrait" useFirstPageNumber="1" horizontalDpi="300" verticalDpi="300" r:id="rId1"/>
  <headerFooter alignWithMargins="0">
    <oddFooter>&amp;CСтраница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0EDA9-791D-4DF6-AABD-B1AC60214267}">
  <dimension ref="A1:G75"/>
  <sheetViews>
    <sheetView topLeftCell="A67" workbookViewId="0">
      <selection activeCell="C75" sqref="C75:G75"/>
    </sheetView>
  </sheetViews>
  <sheetFormatPr defaultColWidth="11.5703125" defaultRowHeight="12.75" x14ac:dyDescent="0.2"/>
  <cols>
    <col min="1" max="1" width="3.7109375" style="107" customWidth="1"/>
    <col min="2" max="2" width="26.7109375" style="107" customWidth="1"/>
    <col min="3" max="3" width="7.7109375" style="107" customWidth="1"/>
    <col min="4" max="4" width="5" style="107" customWidth="1"/>
    <col min="5" max="5" width="27.7109375" style="107" customWidth="1"/>
    <col min="6" max="6" width="14.42578125" style="107" customWidth="1"/>
    <col min="7" max="7" width="11.5703125" style="107"/>
    <col min="8" max="16384" width="11.5703125" style="58"/>
  </cols>
  <sheetData>
    <row r="1" spans="1:7" ht="51.2" customHeight="1" x14ac:dyDescent="0.2">
      <c r="A1" s="190" t="s">
        <v>99</v>
      </c>
      <c r="B1" s="190"/>
      <c r="C1" s="192" t="s">
        <v>911</v>
      </c>
      <c r="D1" s="192"/>
      <c r="E1" s="192"/>
      <c r="F1" s="192"/>
      <c r="G1" s="192"/>
    </row>
    <row r="2" spans="1:7" x14ac:dyDescent="0.2">
      <c r="A2" s="59"/>
      <c r="B2" s="59"/>
      <c r="C2" s="60"/>
      <c r="D2" s="60"/>
      <c r="E2" s="60"/>
      <c r="F2" s="60"/>
      <c r="G2" s="60"/>
    </row>
    <row r="3" spans="1:7" x14ac:dyDescent="0.2">
      <c r="A3" s="59"/>
      <c r="B3" s="59"/>
      <c r="C3" s="60"/>
      <c r="D3" s="60"/>
      <c r="E3" s="60"/>
      <c r="F3" s="60"/>
      <c r="G3" s="60"/>
    </row>
    <row r="4" spans="1:7" x14ac:dyDescent="0.2">
      <c r="B4" s="193" t="s">
        <v>408</v>
      </c>
      <c r="C4" s="193"/>
      <c r="D4" s="193"/>
      <c r="E4" s="193"/>
      <c r="F4" s="193"/>
    </row>
    <row r="5" spans="1:7" x14ac:dyDescent="0.2">
      <c r="B5" s="194" t="s">
        <v>409</v>
      </c>
      <c r="C5" s="194"/>
      <c r="D5" s="194"/>
      <c r="E5" s="194"/>
      <c r="F5" s="194"/>
    </row>
    <row r="6" spans="1:7" x14ac:dyDescent="0.2">
      <c r="B6" s="61"/>
      <c r="C6" s="61"/>
      <c r="D6" s="61"/>
      <c r="E6" s="61"/>
      <c r="F6" s="61"/>
    </row>
    <row r="7" spans="1:7" ht="51" customHeight="1" x14ac:dyDescent="0.2">
      <c r="A7" s="189" t="s">
        <v>102</v>
      </c>
      <c r="B7" s="189"/>
      <c r="C7" s="189"/>
      <c r="D7" s="195" t="s">
        <v>87</v>
      </c>
      <c r="E7" s="195"/>
      <c r="F7" s="195"/>
      <c r="G7" s="195"/>
    </row>
    <row r="8" spans="1:7" x14ac:dyDescent="0.2">
      <c r="C8" s="62"/>
      <c r="D8" s="62"/>
      <c r="E8" s="62"/>
    </row>
    <row r="9" spans="1:7" ht="12.75" customHeight="1" x14ac:dyDescent="0.2">
      <c r="A9" s="189" t="s">
        <v>308</v>
      </c>
      <c r="B9" s="189"/>
      <c r="C9" s="189"/>
      <c r="D9" s="196" t="s">
        <v>932</v>
      </c>
      <c r="E9" s="196"/>
      <c r="F9" s="196"/>
      <c r="G9" s="196"/>
    </row>
    <row r="10" spans="1:7" x14ac:dyDescent="0.2">
      <c r="A10" s="63"/>
      <c r="B10" s="63"/>
      <c r="C10" s="94"/>
      <c r="D10" s="64"/>
      <c r="E10" s="64"/>
      <c r="F10" s="64"/>
      <c r="G10" s="64"/>
    </row>
    <row r="11" spans="1:7" x14ac:dyDescent="0.2">
      <c r="A11" s="189" t="s">
        <v>309</v>
      </c>
      <c r="B11" s="189"/>
      <c r="C11" s="189"/>
      <c r="D11" s="196"/>
      <c r="E11" s="196"/>
      <c r="F11" s="196"/>
      <c r="G11" s="196"/>
    </row>
    <row r="12" spans="1:7" x14ac:dyDescent="0.2">
      <c r="D12" s="196"/>
      <c r="E12" s="196"/>
      <c r="F12" s="196"/>
      <c r="G12" s="196"/>
    </row>
    <row r="13" spans="1:7" ht="13.5" customHeight="1" x14ac:dyDescent="0.2">
      <c r="A13" s="189" t="s">
        <v>310</v>
      </c>
      <c r="B13" s="189"/>
      <c r="C13" s="189"/>
      <c r="D13" s="196"/>
      <c r="E13" s="196"/>
      <c r="F13" s="196"/>
      <c r="G13" s="196"/>
    </row>
    <row r="14" spans="1:7" ht="12" customHeight="1" x14ac:dyDescent="0.2">
      <c r="A14" s="94"/>
      <c r="B14" s="94"/>
      <c r="D14" s="196"/>
      <c r="E14" s="196"/>
      <c r="F14" s="196"/>
      <c r="G14" s="196"/>
    </row>
    <row r="15" spans="1:7" ht="42.75" hidden="1" customHeight="1" x14ac:dyDescent="0.2">
      <c r="A15" s="189"/>
      <c r="B15" s="210"/>
      <c r="C15" s="210"/>
      <c r="D15" s="210"/>
      <c r="E15" s="210"/>
      <c r="F15" s="210"/>
      <c r="G15" s="210"/>
    </row>
    <row r="16" spans="1:7" ht="12.75" customHeight="1" x14ac:dyDescent="0.2">
      <c r="A16" s="95"/>
      <c r="B16" s="93"/>
      <c r="C16" s="93"/>
      <c r="D16" s="93"/>
      <c r="E16" s="93"/>
      <c r="F16" s="93"/>
      <c r="G16" s="93"/>
    </row>
    <row r="17" spans="1:7" ht="12.75" customHeight="1" x14ac:dyDescent="0.2">
      <c r="A17" s="198" t="s">
        <v>218</v>
      </c>
      <c r="B17" s="198"/>
      <c r="C17" s="198"/>
      <c r="D17" s="198"/>
      <c r="E17" s="198"/>
      <c r="F17" s="198"/>
      <c r="G17" s="198"/>
    </row>
    <row r="18" spans="1:7" ht="32.25" customHeight="1" x14ac:dyDescent="0.2">
      <c r="A18" s="127" t="s">
        <v>108</v>
      </c>
      <c r="B18" s="127" t="s">
        <v>311</v>
      </c>
      <c r="C18" s="127" t="s">
        <v>312</v>
      </c>
      <c r="D18" s="127" t="s">
        <v>313</v>
      </c>
      <c r="E18" s="127" t="s">
        <v>314</v>
      </c>
      <c r="F18" s="127" t="s">
        <v>315</v>
      </c>
      <c r="G18" s="127" t="s">
        <v>114</v>
      </c>
    </row>
    <row r="19" spans="1:7" x14ac:dyDescent="0.2">
      <c r="A19" s="128">
        <v>1</v>
      </c>
      <c r="B19" s="129">
        <v>2</v>
      </c>
      <c r="C19" s="129">
        <v>3</v>
      </c>
      <c r="D19" s="129">
        <v>4</v>
      </c>
      <c r="E19" s="129">
        <v>5</v>
      </c>
      <c r="F19" s="129">
        <v>6</v>
      </c>
      <c r="G19" s="129">
        <v>7</v>
      </c>
    </row>
    <row r="20" spans="1:7" ht="12.75" customHeight="1" x14ac:dyDescent="0.2">
      <c r="A20" s="65" t="s">
        <v>6</v>
      </c>
      <c r="B20" s="66" t="s">
        <v>115</v>
      </c>
      <c r="C20" s="66"/>
      <c r="D20" s="66"/>
      <c r="E20" s="66" t="s">
        <v>316</v>
      </c>
      <c r="F20" s="66"/>
      <c r="G20" s="67"/>
    </row>
    <row r="21" spans="1:7" ht="178.5" customHeight="1" x14ac:dyDescent="0.2">
      <c r="A21" s="85" t="s">
        <v>117</v>
      </c>
      <c r="B21" s="86" t="s">
        <v>410</v>
      </c>
      <c r="C21" s="87" t="s">
        <v>411</v>
      </c>
      <c r="D21" s="87">
        <v>1</v>
      </c>
      <c r="E21" s="87" t="s">
        <v>412</v>
      </c>
      <c r="F21" s="87" t="s">
        <v>413</v>
      </c>
      <c r="G21" s="88">
        <f>ROUND(609  * 1,2)</f>
        <v>609</v>
      </c>
    </row>
    <row r="22" spans="1:7" ht="15.75" customHeight="1" x14ac:dyDescent="0.2">
      <c r="A22" s="71" t="s">
        <v>129</v>
      </c>
      <c r="B22" s="72" t="s">
        <v>130</v>
      </c>
      <c r="C22" s="72"/>
      <c r="D22" s="72"/>
      <c r="E22" s="72"/>
      <c r="F22" s="72"/>
      <c r="G22" s="73"/>
    </row>
    <row r="23" spans="1:7" ht="12.75" customHeight="1" x14ac:dyDescent="0.2">
      <c r="A23" s="96" t="s">
        <v>129</v>
      </c>
      <c r="B23" s="97" t="s">
        <v>321</v>
      </c>
      <c r="C23" s="97"/>
      <c r="D23" s="97"/>
      <c r="E23" s="97"/>
      <c r="F23" s="97"/>
      <c r="G23" s="80"/>
    </row>
    <row r="24" spans="1:7" ht="191.25" customHeight="1" x14ac:dyDescent="0.2">
      <c r="A24" s="90" t="s">
        <v>121</v>
      </c>
      <c r="B24" s="91" t="s">
        <v>414</v>
      </c>
      <c r="C24" s="81" t="s">
        <v>415</v>
      </c>
      <c r="D24" s="81">
        <v>1</v>
      </c>
      <c r="E24" s="81" t="s">
        <v>416</v>
      </c>
      <c r="F24" s="81" t="s">
        <v>417</v>
      </c>
      <c r="G24" s="82">
        <f>ROUND(272  * 1,2)</f>
        <v>272</v>
      </c>
    </row>
    <row r="25" spans="1:7" ht="15.75" customHeight="1" x14ac:dyDescent="0.2">
      <c r="A25" s="71" t="s">
        <v>129</v>
      </c>
      <c r="B25" s="72" t="s">
        <v>130</v>
      </c>
      <c r="C25" s="72"/>
      <c r="D25" s="72"/>
      <c r="E25" s="72"/>
      <c r="F25" s="72"/>
      <c r="G25" s="73"/>
    </row>
    <row r="26" spans="1:7" ht="12.75" customHeight="1" x14ac:dyDescent="0.2">
      <c r="A26" s="96" t="s">
        <v>129</v>
      </c>
      <c r="B26" s="97" t="s">
        <v>321</v>
      </c>
      <c r="C26" s="97"/>
      <c r="D26" s="97"/>
      <c r="E26" s="97"/>
      <c r="F26" s="97"/>
      <c r="G26" s="80"/>
    </row>
    <row r="27" spans="1:7" ht="191.25" customHeight="1" x14ac:dyDescent="0.2">
      <c r="A27" s="90" t="s">
        <v>123</v>
      </c>
      <c r="B27" s="91" t="s">
        <v>418</v>
      </c>
      <c r="C27" s="81" t="s">
        <v>419</v>
      </c>
      <c r="D27" s="81">
        <v>1</v>
      </c>
      <c r="E27" s="81" t="s">
        <v>420</v>
      </c>
      <c r="F27" s="81" t="s">
        <v>421</v>
      </c>
      <c r="G27" s="82">
        <f>ROUND(476  * 1,2)</f>
        <v>476</v>
      </c>
    </row>
    <row r="28" spans="1:7" ht="15.75" customHeight="1" x14ac:dyDescent="0.2">
      <c r="A28" s="71" t="s">
        <v>129</v>
      </c>
      <c r="B28" s="72" t="s">
        <v>130</v>
      </c>
      <c r="C28" s="72"/>
      <c r="D28" s="72"/>
      <c r="E28" s="72"/>
      <c r="F28" s="72"/>
      <c r="G28" s="73"/>
    </row>
    <row r="29" spans="1:7" ht="12.75" customHeight="1" x14ac:dyDescent="0.2">
      <c r="A29" s="96" t="s">
        <v>129</v>
      </c>
      <c r="B29" s="97" t="s">
        <v>321</v>
      </c>
      <c r="C29" s="97"/>
      <c r="D29" s="97"/>
      <c r="E29" s="97"/>
      <c r="F29" s="97"/>
      <c r="G29" s="80"/>
    </row>
    <row r="30" spans="1:7" ht="178.5" customHeight="1" x14ac:dyDescent="0.2">
      <c r="A30" s="90" t="s">
        <v>230</v>
      </c>
      <c r="B30" s="91" t="s">
        <v>422</v>
      </c>
      <c r="C30" s="81" t="s">
        <v>423</v>
      </c>
      <c r="D30" s="81">
        <v>1</v>
      </c>
      <c r="E30" s="81" t="s">
        <v>424</v>
      </c>
      <c r="F30" s="81" t="s">
        <v>425</v>
      </c>
      <c r="G30" s="82">
        <f>ROUND(130  * 1,2)</f>
        <v>130</v>
      </c>
    </row>
    <row r="31" spans="1:7" ht="15.75" customHeight="1" x14ac:dyDescent="0.2">
      <c r="A31" s="71" t="s">
        <v>129</v>
      </c>
      <c r="B31" s="72" t="s">
        <v>130</v>
      </c>
      <c r="C31" s="72"/>
      <c r="D31" s="72"/>
      <c r="E31" s="72"/>
      <c r="F31" s="72"/>
      <c r="G31" s="73"/>
    </row>
    <row r="32" spans="1:7" ht="12.75" customHeight="1" x14ac:dyDescent="0.2">
      <c r="A32" s="96" t="s">
        <v>129</v>
      </c>
      <c r="B32" s="97" t="s">
        <v>321</v>
      </c>
      <c r="C32" s="97"/>
      <c r="D32" s="97"/>
      <c r="E32" s="97"/>
      <c r="F32" s="97"/>
      <c r="G32" s="80"/>
    </row>
    <row r="33" spans="1:7" ht="191.25" customHeight="1" x14ac:dyDescent="0.2">
      <c r="A33" s="90" t="s">
        <v>365</v>
      </c>
      <c r="B33" s="91" t="s">
        <v>426</v>
      </c>
      <c r="C33" s="81" t="s">
        <v>427</v>
      </c>
      <c r="D33" s="81">
        <v>1</v>
      </c>
      <c r="E33" s="81" t="s">
        <v>428</v>
      </c>
      <c r="F33" s="81" t="s">
        <v>429</v>
      </c>
      <c r="G33" s="82">
        <f>ROUND(115  * 1,2)</f>
        <v>115</v>
      </c>
    </row>
    <row r="34" spans="1:7" ht="15.75" customHeight="1" x14ac:dyDescent="0.2">
      <c r="A34" s="71" t="s">
        <v>129</v>
      </c>
      <c r="B34" s="72" t="s">
        <v>130</v>
      </c>
      <c r="C34" s="72"/>
      <c r="D34" s="72"/>
      <c r="E34" s="72"/>
      <c r="F34" s="72"/>
      <c r="G34" s="73"/>
    </row>
    <row r="35" spans="1:7" ht="12.75" customHeight="1" x14ac:dyDescent="0.2">
      <c r="A35" s="96" t="s">
        <v>129</v>
      </c>
      <c r="B35" s="97" t="s">
        <v>321</v>
      </c>
      <c r="C35" s="97"/>
      <c r="D35" s="97"/>
      <c r="E35" s="97"/>
      <c r="F35" s="97"/>
      <c r="G35" s="80"/>
    </row>
    <row r="36" spans="1:7" ht="178.5" customHeight="1" x14ac:dyDescent="0.2">
      <c r="A36" s="90" t="s">
        <v>367</v>
      </c>
      <c r="B36" s="91" t="s">
        <v>430</v>
      </c>
      <c r="C36" s="81" t="s">
        <v>431</v>
      </c>
      <c r="D36" s="81">
        <v>1</v>
      </c>
      <c r="E36" s="81" t="s">
        <v>432</v>
      </c>
      <c r="F36" s="81" t="s">
        <v>433</v>
      </c>
      <c r="G36" s="82">
        <f>ROUND(19  * 1,2)</f>
        <v>19</v>
      </c>
    </row>
    <row r="37" spans="1:7" ht="15.75" customHeight="1" x14ac:dyDescent="0.2">
      <c r="A37" s="71" t="s">
        <v>129</v>
      </c>
      <c r="B37" s="72" t="s">
        <v>130</v>
      </c>
      <c r="C37" s="72"/>
      <c r="D37" s="72"/>
      <c r="E37" s="72"/>
      <c r="F37" s="72"/>
      <c r="G37" s="73"/>
    </row>
    <row r="38" spans="1:7" ht="12.75" customHeight="1" x14ac:dyDescent="0.2">
      <c r="A38" s="96" t="s">
        <v>129</v>
      </c>
      <c r="B38" s="97" t="s">
        <v>321</v>
      </c>
      <c r="C38" s="97"/>
      <c r="D38" s="97"/>
      <c r="E38" s="97"/>
      <c r="F38" s="97"/>
      <c r="G38" s="80"/>
    </row>
    <row r="39" spans="1:7" ht="12.75" customHeight="1" x14ac:dyDescent="0.2">
      <c r="A39" s="96" t="s">
        <v>370</v>
      </c>
      <c r="B39" s="83" t="s">
        <v>324</v>
      </c>
      <c r="C39" s="83"/>
      <c r="D39" s="83"/>
      <c r="E39" s="83"/>
      <c r="F39" s="83"/>
      <c r="G39" s="84">
        <f>ROUND((SUM($G$21:$G$36)),2)</f>
        <v>1621</v>
      </c>
    </row>
    <row r="40" spans="1:7" ht="12.75" customHeight="1" x14ac:dyDescent="0.2">
      <c r="A40" s="65" t="s">
        <v>371</v>
      </c>
      <c r="B40" s="66" t="s">
        <v>325</v>
      </c>
      <c r="C40" s="66"/>
      <c r="D40" s="66"/>
      <c r="E40" s="66"/>
      <c r="F40" s="66"/>
      <c r="G40" s="70">
        <f>ROUND(($G$39),2)</f>
        <v>1621</v>
      </c>
    </row>
    <row r="41" spans="1:7" ht="12.75" customHeight="1" x14ac:dyDescent="0.2">
      <c r="A41" s="65" t="s">
        <v>7</v>
      </c>
      <c r="B41" s="66" t="s">
        <v>115</v>
      </c>
      <c r="C41" s="66"/>
      <c r="D41" s="66"/>
      <c r="E41" s="66" t="s">
        <v>326</v>
      </c>
      <c r="F41" s="66"/>
      <c r="G41" s="67"/>
    </row>
    <row r="42" spans="1:7" ht="25.5" customHeight="1" x14ac:dyDescent="0.2">
      <c r="A42" s="65" t="s">
        <v>125</v>
      </c>
      <c r="B42" s="66" t="s">
        <v>327</v>
      </c>
      <c r="C42" s="66"/>
      <c r="D42" s="66"/>
      <c r="E42" s="66"/>
      <c r="F42" s="66"/>
      <c r="G42" s="70">
        <f>ROUND(0,2)</f>
        <v>0</v>
      </c>
    </row>
    <row r="43" spans="1:7" ht="25.5" customHeight="1" x14ac:dyDescent="0.2">
      <c r="A43" s="65" t="s">
        <v>139</v>
      </c>
      <c r="B43" s="66" t="s">
        <v>328</v>
      </c>
      <c r="C43" s="66"/>
      <c r="D43" s="66"/>
      <c r="E43" s="66"/>
      <c r="F43" s="66"/>
      <c r="G43" s="70">
        <f>ROUND(($G$42),2)</f>
        <v>0</v>
      </c>
    </row>
    <row r="44" spans="1:7" ht="12.75" customHeight="1" x14ac:dyDescent="0.2">
      <c r="A44" s="65" t="s">
        <v>23</v>
      </c>
      <c r="B44" s="66" t="s">
        <v>115</v>
      </c>
      <c r="C44" s="66"/>
      <c r="D44" s="66"/>
      <c r="E44" s="66" t="s">
        <v>329</v>
      </c>
      <c r="F44" s="66"/>
      <c r="G44" s="67"/>
    </row>
    <row r="45" spans="1:7" ht="178.5" customHeight="1" x14ac:dyDescent="0.2">
      <c r="A45" s="85" t="s">
        <v>149</v>
      </c>
      <c r="B45" s="86" t="s">
        <v>434</v>
      </c>
      <c r="C45" s="87" t="s">
        <v>411</v>
      </c>
      <c r="D45" s="87">
        <v>1</v>
      </c>
      <c r="E45" s="87" t="s">
        <v>435</v>
      </c>
      <c r="F45" s="87" t="s">
        <v>436</v>
      </c>
      <c r="G45" s="88">
        <f>ROUND(85  * 1,2)</f>
        <v>85</v>
      </c>
    </row>
    <row r="46" spans="1:7" ht="15.75" customHeight="1" x14ac:dyDescent="0.2">
      <c r="A46" s="71" t="s">
        <v>129</v>
      </c>
      <c r="B46" s="72" t="s">
        <v>130</v>
      </c>
      <c r="C46" s="72"/>
      <c r="D46" s="72"/>
      <c r="E46" s="72"/>
      <c r="F46" s="72"/>
      <c r="G46" s="73"/>
    </row>
    <row r="47" spans="1:7" ht="12.75" customHeight="1" x14ac:dyDescent="0.2">
      <c r="A47" s="96" t="s">
        <v>129</v>
      </c>
      <c r="B47" s="97" t="s">
        <v>321</v>
      </c>
      <c r="C47" s="97"/>
      <c r="D47" s="97"/>
      <c r="E47" s="97"/>
      <c r="F47" s="97"/>
      <c r="G47" s="80"/>
    </row>
    <row r="48" spans="1:7" ht="191.25" customHeight="1" x14ac:dyDescent="0.2">
      <c r="A48" s="90" t="s">
        <v>160</v>
      </c>
      <c r="B48" s="91" t="s">
        <v>418</v>
      </c>
      <c r="C48" s="81" t="s">
        <v>419</v>
      </c>
      <c r="D48" s="81">
        <v>1</v>
      </c>
      <c r="E48" s="81" t="s">
        <v>437</v>
      </c>
      <c r="F48" s="81" t="s">
        <v>438</v>
      </c>
      <c r="G48" s="82">
        <f>ROUND(68  * 1,2)</f>
        <v>68</v>
      </c>
    </row>
    <row r="49" spans="1:7" ht="15.75" customHeight="1" x14ac:dyDescent="0.2">
      <c r="A49" s="71" t="s">
        <v>129</v>
      </c>
      <c r="B49" s="72" t="s">
        <v>130</v>
      </c>
      <c r="C49" s="72"/>
      <c r="D49" s="72"/>
      <c r="E49" s="72"/>
      <c r="F49" s="72"/>
      <c r="G49" s="73"/>
    </row>
    <row r="50" spans="1:7" ht="12.75" customHeight="1" x14ac:dyDescent="0.2">
      <c r="A50" s="96" t="s">
        <v>129</v>
      </c>
      <c r="B50" s="97" t="s">
        <v>321</v>
      </c>
      <c r="C50" s="97"/>
      <c r="D50" s="97"/>
      <c r="E50" s="97"/>
      <c r="F50" s="97"/>
      <c r="G50" s="80"/>
    </row>
    <row r="51" spans="1:7" ht="178.5" customHeight="1" x14ac:dyDescent="0.2">
      <c r="A51" s="90" t="s">
        <v>166</v>
      </c>
      <c r="B51" s="91" t="s">
        <v>422</v>
      </c>
      <c r="C51" s="81" t="s">
        <v>423</v>
      </c>
      <c r="D51" s="81">
        <v>1</v>
      </c>
      <c r="E51" s="81" t="s">
        <v>439</v>
      </c>
      <c r="F51" s="81" t="s">
        <v>440</v>
      </c>
      <c r="G51" s="82">
        <f>ROUND(29  * 1,2)</f>
        <v>29</v>
      </c>
    </row>
    <row r="52" spans="1:7" ht="15.75" customHeight="1" x14ac:dyDescent="0.2">
      <c r="A52" s="71" t="s">
        <v>129</v>
      </c>
      <c r="B52" s="72" t="s">
        <v>130</v>
      </c>
      <c r="C52" s="72"/>
      <c r="D52" s="72"/>
      <c r="E52" s="72"/>
      <c r="F52" s="72"/>
      <c r="G52" s="73"/>
    </row>
    <row r="53" spans="1:7" ht="12.75" customHeight="1" x14ac:dyDescent="0.2">
      <c r="A53" s="96" t="s">
        <v>129</v>
      </c>
      <c r="B53" s="97" t="s">
        <v>321</v>
      </c>
      <c r="C53" s="97"/>
      <c r="D53" s="97"/>
      <c r="E53" s="97"/>
      <c r="F53" s="97"/>
      <c r="G53" s="80"/>
    </row>
    <row r="54" spans="1:7" ht="191.25" customHeight="1" x14ac:dyDescent="0.2">
      <c r="A54" s="90" t="s">
        <v>171</v>
      </c>
      <c r="B54" s="91" t="s">
        <v>441</v>
      </c>
      <c r="C54" s="81" t="s">
        <v>427</v>
      </c>
      <c r="D54" s="81">
        <v>1</v>
      </c>
      <c r="E54" s="81" t="s">
        <v>442</v>
      </c>
      <c r="F54" s="81" t="s">
        <v>443</v>
      </c>
      <c r="G54" s="82">
        <f>ROUND(25  * 1,2)</f>
        <v>25</v>
      </c>
    </row>
    <row r="55" spans="1:7" ht="15.75" customHeight="1" x14ac:dyDescent="0.2">
      <c r="A55" s="71" t="s">
        <v>129</v>
      </c>
      <c r="B55" s="72" t="s">
        <v>130</v>
      </c>
      <c r="C55" s="72"/>
      <c r="D55" s="72"/>
      <c r="E55" s="72"/>
      <c r="F55" s="72"/>
      <c r="G55" s="73"/>
    </row>
    <row r="56" spans="1:7" ht="12.75" customHeight="1" x14ac:dyDescent="0.2">
      <c r="A56" s="96" t="s">
        <v>129</v>
      </c>
      <c r="B56" s="97" t="s">
        <v>321</v>
      </c>
      <c r="C56" s="97"/>
      <c r="D56" s="97"/>
      <c r="E56" s="97"/>
      <c r="F56" s="97"/>
      <c r="G56" s="80"/>
    </row>
    <row r="57" spans="1:7" ht="178.5" customHeight="1" x14ac:dyDescent="0.2">
      <c r="A57" s="90" t="s">
        <v>180</v>
      </c>
      <c r="B57" s="91" t="s">
        <v>444</v>
      </c>
      <c r="C57" s="81" t="s">
        <v>445</v>
      </c>
      <c r="D57" s="81">
        <v>1</v>
      </c>
      <c r="E57" s="81" t="s">
        <v>446</v>
      </c>
      <c r="F57" s="81" t="s">
        <v>447</v>
      </c>
      <c r="G57" s="82">
        <f>ROUND(105  * 1,2)</f>
        <v>105</v>
      </c>
    </row>
    <row r="58" spans="1:7" ht="15.75" customHeight="1" x14ac:dyDescent="0.2">
      <c r="A58" s="71" t="s">
        <v>129</v>
      </c>
      <c r="B58" s="72" t="s">
        <v>130</v>
      </c>
      <c r="C58" s="72"/>
      <c r="D58" s="72"/>
      <c r="E58" s="72"/>
      <c r="F58" s="72"/>
      <c r="G58" s="73"/>
    </row>
    <row r="59" spans="1:7" ht="12.75" customHeight="1" x14ac:dyDescent="0.2">
      <c r="A59" s="96" t="s">
        <v>129</v>
      </c>
      <c r="B59" s="97" t="s">
        <v>321</v>
      </c>
      <c r="C59" s="97"/>
      <c r="D59" s="97"/>
      <c r="E59" s="97"/>
      <c r="F59" s="97"/>
      <c r="G59" s="80"/>
    </row>
    <row r="60" spans="1:7" ht="25.5" customHeight="1" x14ac:dyDescent="0.2">
      <c r="A60" s="96" t="s">
        <v>184</v>
      </c>
      <c r="B60" s="83" t="s">
        <v>332</v>
      </c>
      <c r="C60" s="83"/>
      <c r="D60" s="83"/>
      <c r="E60" s="83"/>
      <c r="F60" s="83"/>
      <c r="G60" s="84">
        <f>ROUND((SUM($G$45:$G$57)),2)</f>
        <v>312</v>
      </c>
    </row>
    <row r="61" spans="1:7" ht="102" customHeight="1" x14ac:dyDescent="0.2">
      <c r="A61" s="65" t="s">
        <v>187</v>
      </c>
      <c r="B61" s="68" t="s">
        <v>448</v>
      </c>
      <c r="C61" s="68"/>
      <c r="D61" s="68"/>
      <c r="E61" s="68" t="s">
        <v>449</v>
      </c>
      <c r="F61" s="68" t="s">
        <v>450</v>
      </c>
      <c r="G61" s="69">
        <f>ROUND(($G$60) * 65 / 100 * 1,2)</f>
        <v>202.8</v>
      </c>
    </row>
    <row r="62" spans="1:7" ht="25.5" customHeight="1" x14ac:dyDescent="0.2">
      <c r="A62" s="65" t="s">
        <v>192</v>
      </c>
      <c r="B62" s="66" t="s">
        <v>335</v>
      </c>
      <c r="C62" s="66"/>
      <c r="D62" s="66"/>
      <c r="E62" s="66"/>
      <c r="F62" s="66"/>
      <c r="G62" s="70">
        <f>ROUND((SUM($G$60:$G$61)),2)</f>
        <v>514.79999999999995</v>
      </c>
    </row>
    <row r="63" spans="1:7" ht="12.75" customHeight="1" x14ac:dyDescent="0.2">
      <c r="A63" s="65" t="s">
        <v>24</v>
      </c>
      <c r="B63" s="66" t="s">
        <v>115</v>
      </c>
      <c r="C63" s="66"/>
      <c r="D63" s="66"/>
      <c r="E63" s="66" t="s">
        <v>336</v>
      </c>
      <c r="F63" s="66"/>
      <c r="G63" s="67"/>
    </row>
    <row r="64" spans="1:7" ht="89.25" customHeight="1" x14ac:dyDescent="0.2">
      <c r="A64" s="65" t="s">
        <v>289</v>
      </c>
      <c r="B64" s="68" t="s">
        <v>372</v>
      </c>
      <c r="C64" s="68"/>
      <c r="D64" s="68"/>
      <c r="E64" s="68" t="s">
        <v>451</v>
      </c>
      <c r="F64" s="68" t="s">
        <v>452</v>
      </c>
      <c r="G64" s="69">
        <f>ROUND(($G$40) * 8.75 / 100 * 1,2)</f>
        <v>141.84</v>
      </c>
    </row>
    <row r="65" spans="1:7" ht="89.25" customHeight="1" x14ac:dyDescent="0.2">
      <c r="A65" s="65" t="s">
        <v>291</v>
      </c>
      <c r="B65" s="68" t="s">
        <v>339</v>
      </c>
      <c r="C65" s="68"/>
      <c r="D65" s="68"/>
      <c r="E65" s="68" t="s">
        <v>453</v>
      </c>
      <c r="F65" s="68" t="s">
        <v>454</v>
      </c>
      <c r="G65" s="69">
        <f>ROUND(($G$40 + $G$64) * 30.8 / 100 * 1,2)</f>
        <v>542.95000000000005</v>
      </c>
    </row>
    <row r="66" spans="1:7" ht="165.75" customHeight="1" x14ac:dyDescent="0.2">
      <c r="A66" s="65" t="s">
        <v>292</v>
      </c>
      <c r="B66" s="68" t="s">
        <v>341</v>
      </c>
      <c r="C66" s="68"/>
      <c r="D66" s="68"/>
      <c r="E66" s="68" t="s">
        <v>455</v>
      </c>
      <c r="F66" s="68" t="s">
        <v>456</v>
      </c>
      <c r="G66" s="69">
        <f>ROUND(($G$40 + $G$64) * 2.5 * 1 * 6 / 100 * 1,2)</f>
        <v>264.43</v>
      </c>
    </row>
    <row r="67" spans="1:7" ht="12.75" customHeight="1" x14ac:dyDescent="0.2">
      <c r="A67" s="65" t="s">
        <v>293</v>
      </c>
      <c r="B67" s="66" t="s">
        <v>343</v>
      </c>
      <c r="C67" s="66"/>
      <c r="D67" s="66"/>
      <c r="E67" s="66"/>
      <c r="F67" s="66"/>
      <c r="G67" s="70">
        <f>ROUND((SUM($G$64:$G$66)),2)</f>
        <v>949.22</v>
      </c>
    </row>
    <row r="68" spans="1:7" ht="12.75" customHeight="1" x14ac:dyDescent="0.2">
      <c r="A68" s="65" t="s">
        <v>25</v>
      </c>
      <c r="B68" s="66" t="s">
        <v>213</v>
      </c>
      <c r="C68" s="66"/>
      <c r="D68" s="66"/>
      <c r="E68" s="66"/>
      <c r="F68" s="66"/>
      <c r="G68" s="70">
        <f>ROUND(($G$40 + $G$43 + $G$62 + $G$67),2)</f>
        <v>3085.02</v>
      </c>
    </row>
    <row r="69" spans="1:7" ht="89.25" customHeight="1" x14ac:dyDescent="0.2">
      <c r="A69" s="65" t="s">
        <v>26</v>
      </c>
      <c r="B69" s="68" t="s">
        <v>344</v>
      </c>
      <c r="C69" s="68"/>
      <c r="D69" s="68"/>
      <c r="E69" s="68" t="s">
        <v>457</v>
      </c>
      <c r="F69" s="68" t="s">
        <v>346</v>
      </c>
      <c r="G69" s="69">
        <f>ROUND(($G$68) * 0.15 * 1,2)</f>
        <v>462.75</v>
      </c>
    </row>
    <row r="70" spans="1:7" ht="51" customHeight="1" x14ac:dyDescent="0.2">
      <c r="A70" s="65" t="s">
        <v>27</v>
      </c>
      <c r="B70" s="68" t="s">
        <v>406</v>
      </c>
      <c r="C70" s="68"/>
      <c r="D70" s="68"/>
      <c r="E70" s="68" t="s">
        <v>348</v>
      </c>
      <c r="F70" s="68" t="s">
        <v>407</v>
      </c>
      <c r="G70" s="69">
        <f>ROUND((SUM($G$68:$G$69)) * 54.75 * 1,2)</f>
        <v>194240.41</v>
      </c>
    </row>
    <row r="71" spans="1:7" ht="12.75" customHeight="1" x14ac:dyDescent="0.2">
      <c r="A71" s="65" t="s">
        <v>28</v>
      </c>
      <c r="B71" s="66" t="s">
        <v>214</v>
      </c>
      <c r="C71" s="66"/>
      <c r="D71" s="66"/>
      <c r="E71" s="66"/>
      <c r="F71" s="66"/>
      <c r="G71" s="70">
        <f>ROUND(($G$70),2)</f>
        <v>194240.41</v>
      </c>
    </row>
    <row r="72" spans="1:7" ht="12.75" customHeight="1" x14ac:dyDescent="0.2"/>
    <row r="75" spans="1:7" s="93" customFormat="1" ht="24.95" customHeight="1" x14ac:dyDescent="0.25">
      <c r="A75" s="189" t="s">
        <v>215</v>
      </c>
      <c r="B75" s="189"/>
      <c r="C75" s="189"/>
      <c r="D75" s="189"/>
      <c r="E75" s="189"/>
      <c r="F75" s="189"/>
      <c r="G75" s="189"/>
    </row>
  </sheetData>
  <mergeCells count="16">
    <mergeCell ref="A15:G15"/>
    <mergeCell ref="A17:G17"/>
    <mergeCell ref="A75:B75"/>
    <mergeCell ref="C75:G75"/>
    <mergeCell ref="A9:C9"/>
    <mergeCell ref="D9:G9"/>
    <mergeCell ref="A11:C11"/>
    <mergeCell ref="D11:G12"/>
    <mergeCell ref="A13:C13"/>
    <mergeCell ref="D13:G14"/>
    <mergeCell ref="A1:B1"/>
    <mergeCell ref="C1:G1"/>
    <mergeCell ref="B4:F4"/>
    <mergeCell ref="B5:F5"/>
    <mergeCell ref="A7:C7"/>
    <mergeCell ref="D7:G7"/>
  </mergeCells>
  <pageMargins left="0.39374999999999999" right="0.39374999999999999" top="0.59027777777777779" bottom="0.82777777777777783" header="0.51180555555555562" footer="0.59027777777777779"/>
  <pageSetup paperSize="9" scale="99" orientation="portrait" useFirstPageNumber="1" horizontalDpi="300" verticalDpi="300" r:id="rId1"/>
  <headerFooter alignWithMargins="0">
    <oddFooter>&amp;CСтраница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7452E-2B62-47FF-8998-BB4170669858}">
  <dimension ref="A1:I46"/>
  <sheetViews>
    <sheetView topLeftCell="A40" workbookViewId="0">
      <selection activeCell="D45" sqref="D45:I45"/>
    </sheetView>
  </sheetViews>
  <sheetFormatPr defaultColWidth="11.5703125" defaultRowHeight="12.75" x14ac:dyDescent="0.2"/>
  <cols>
    <col min="1" max="1" width="3.7109375" style="107" customWidth="1"/>
    <col min="2" max="2" width="10.7109375" style="107" customWidth="1"/>
    <col min="3" max="3" width="15.5703125" style="107" customWidth="1"/>
    <col min="4" max="4" width="4.42578125" style="107" customWidth="1"/>
    <col min="5" max="7" width="9.28515625" style="107" customWidth="1"/>
    <col min="8" max="8" width="19.7109375" style="107" customWidth="1"/>
    <col min="9" max="9" width="14.7109375" style="107" customWidth="1"/>
    <col min="10" max="10" width="19.7109375" style="58" customWidth="1"/>
    <col min="11" max="16384" width="11.5703125" style="58"/>
  </cols>
  <sheetData>
    <row r="1" spans="1:9" ht="25.5" customHeight="1" x14ac:dyDescent="0.2">
      <c r="A1" s="208" t="s">
        <v>99</v>
      </c>
      <c r="B1" s="208"/>
      <c r="C1" s="208"/>
      <c r="D1" s="192" t="s">
        <v>911</v>
      </c>
      <c r="E1" s="192"/>
      <c r="F1" s="192"/>
      <c r="G1" s="192"/>
      <c r="H1" s="192"/>
      <c r="I1" s="192"/>
    </row>
    <row r="2" spans="1:9" x14ac:dyDescent="0.2">
      <c r="A2" s="59"/>
      <c r="B2" s="59"/>
      <c r="C2" s="59"/>
      <c r="D2" s="60"/>
      <c r="E2" s="60"/>
      <c r="F2" s="60"/>
      <c r="G2" s="60"/>
      <c r="H2" s="60"/>
      <c r="I2" s="60"/>
    </row>
    <row r="3" spans="1:9" x14ac:dyDescent="0.2">
      <c r="A3" s="193" t="s">
        <v>458</v>
      </c>
      <c r="B3" s="193"/>
      <c r="C3" s="193"/>
      <c r="D3" s="193"/>
      <c r="E3" s="193"/>
      <c r="F3" s="193"/>
      <c r="G3" s="193"/>
      <c r="H3" s="193"/>
      <c r="I3" s="193"/>
    </row>
    <row r="4" spans="1:9" x14ac:dyDescent="0.2">
      <c r="A4" s="209" t="s">
        <v>101</v>
      </c>
      <c r="B4" s="209"/>
      <c r="C4" s="209"/>
      <c r="D4" s="209"/>
      <c r="E4" s="209"/>
      <c r="F4" s="209"/>
      <c r="G4" s="209"/>
      <c r="H4" s="209"/>
      <c r="I4" s="209"/>
    </row>
    <row r="5" spans="1:9" x14ac:dyDescent="0.2">
      <c r="A5" s="92"/>
      <c r="B5" s="92"/>
      <c r="C5" s="92"/>
      <c r="D5" s="92"/>
      <c r="E5" s="92"/>
      <c r="F5" s="92"/>
      <c r="G5" s="92"/>
      <c r="H5" s="92"/>
      <c r="I5" s="92"/>
    </row>
    <row r="6" spans="1:9" ht="51" customHeight="1" x14ac:dyDescent="0.2">
      <c r="A6" s="210" t="s">
        <v>102</v>
      </c>
      <c r="B6" s="210"/>
      <c r="C6" s="210"/>
      <c r="D6" s="189" t="s">
        <v>87</v>
      </c>
      <c r="E6" s="189"/>
      <c r="F6" s="189"/>
      <c r="G6" s="189"/>
      <c r="H6" s="189"/>
      <c r="I6" s="189"/>
    </row>
    <row r="7" spans="1:9" ht="3.75" customHeight="1" x14ac:dyDescent="0.2">
      <c r="D7" s="59"/>
      <c r="E7" s="59"/>
      <c r="F7" s="59"/>
      <c r="G7" s="59"/>
    </row>
    <row r="8" spans="1:9" ht="66" customHeight="1" x14ac:dyDescent="0.2">
      <c r="A8" s="189" t="s">
        <v>103</v>
      </c>
      <c r="B8" s="189"/>
      <c r="C8" s="189"/>
      <c r="D8" s="196" t="s">
        <v>63</v>
      </c>
      <c r="E8" s="196"/>
      <c r="F8" s="196"/>
      <c r="G8" s="196"/>
      <c r="H8" s="196"/>
      <c r="I8" s="196"/>
    </row>
    <row r="9" spans="1:9" ht="3.95" customHeight="1" x14ac:dyDescent="0.2">
      <c r="A9" s="94"/>
      <c r="B9" s="94"/>
      <c r="C9" s="94"/>
    </row>
    <row r="10" spans="1:9" ht="41.25" customHeight="1" x14ac:dyDescent="0.2">
      <c r="A10" s="189" t="s">
        <v>105</v>
      </c>
      <c r="B10" s="189"/>
      <c r="C10" s="189"/>
      <c r="D10" s="189"/>
      <c r="E10" s="189"/>
      <c r="F10" s="189"/>
      <c r="G10" s="189"/>
      <c r="H10" s="189"/>
      <c r="I10" s="189"/>
    </row>
    <row r="11" spans="1:9" ht="3.95" customHeight="1" x14ac:dyDescent="0.2"/>
    <row r="12" spans="1:9" ht="30" customHeight="1" x14ac:dyDescent="0.2">
      <c r="A12" s="189" t="s">
        <v>106</v>
      </c>
      <c r="B12" s="189"/>
      <c r="C12" s="189"/>
      <c r="D12" s="189"/>
      <c r="E12" s="189"/>
      <c r="F12" s="189"/>
      <c r="G12" s="189"/>
      <c r="H12" s="189"/>
      <c r="I12" s="189"/>
    </row>
    <row r="13" spans="1:9" ht="3.75" customHeight="1" x14ac:dyDescent="0.2">
      <c r="A13" s="94"/>
      <c r="B13" s="94"/>
      <c r="C13" s="94"/>
      <c r="D13" s="63"/>
      <c r="E13" s="63"/>
      <c r="F13" s="63"/>
      <c r="G13" s="63"/>
      <c r="H13" s="94"/>
      <c r="I13" s="94"/>
    </row>
    <row r="14" spans="1:9" ht="12.75" customHeight="1" x14ac:dyDescent="0.2">
      <c r="A14" s="198" t="s">
        <v>218</v>
      </c>
      <c r="B14" s="198"/>
      <c r="C14" s="198"/>
      <c r="D14" s="198"/>
      <c r="E14" s="198"/>
      <c r="F14" s="198"/>
      <c r="G14" s="198"/>
      <c r="H14" s="198"/>
      <c r="I14" s="198"/>
    </row>
    <row r="15" spans="1:9" ht="100.5" customHeight="1" x14ac:dyDescent="0.2">
      <c r="A15" s="137" t="s">
        <v>108</v>
      </c>
      <c r="B15" s="222" t="s">
        <v>109</v>
      </c>
      <c r="C15" s="223"/>
      <c r="D15" s="222" t="s">
        <v>110</v>
      </c>
      <c r="E15" s="224"/>
      <c r="F15" s="224"/>
      <c r="G15" s="223"/>
      <c r="H15" s="138" t="s">
        <v>113</v>
      </c>
      <c r="I15" s="137" t="s">
        <v>114</v>
      </c>
    </row>
    <row r="16" spans="1:9" x14ac:dyDescent="0.2">
      <c r="A16" s="128" t="s">
        <v>6</v>
      </c>
      <c r="B16" s="255">
        <v>2</v>
      </c>
      <c r="C16" s="226"/>
      <c r="D16" s="255">
        <v>3</v>
      </c>
      <c r="E16" s="227"/>
      <c r="F16" s="227"/>
      <c r="G16" s="226"/>
      <c r="H16" s="129">
        <v>4</v>
      </c>
      <c r="I16" s="129">
        <v>5</v>
      </c>
    </row>
    <row r="17" spans="1:9" ht="12.75" customHeight="1" x14ac:dyDescent="0.2">
      <c r="A17" s="65" t="s">
        <v>6</v>
      </c>
      <c r="B17" s="228" t="s">
        <v>115</v>
      </c>
      <c r="C17" s="229"/>
      <c r="D17" s="228" t="s">
        <v>459</v>
      </c>
      <c r="E17" s="230"/>
      <c r="F17" s="230"/>
      <c r="G17" s="229"/>
      <c r="H17" s="66"/>
      <c r="I17" s="67"/>
    </row>
    <row r="18" spans="1:9" ht="209.1" customHeight="1" x14ac:dyDescent="0.2">
      <c r="A18" s="85" t="s">
        <v>117</v>
      </c>
      <c r="B18" s="211" t="s">
        <v>460</v>
      </c>
      <c r="C18" s="212"/>
      <c r="D18" s="213" t="s">
        <v>461</v>
      </c>
      <c r="E18" s="214"/>
      <c r="F18" s="214"/>
      <c r="G18" s="215"/>
      <c r="H18" s="87" t="s">
        <v>462</v>
      </c>
      <c r="I18" s="88">
        <f>ROUND(680  * 2 * 1,2)</f>
        <v>1360</v>
      </c>
    </row>
    <row r="19" spans="1:9" ht="15.75" customHeight="1" x14ac:dyDescent="0.2">
      <c r="A19" s="71" t="s">
        <v>129</v>
      </c>
      <c r="B19" s="216" t="s">
        <v>130</v>
      </c>
      <c r="C19" s="217"/>
      <c r="D19" s="216"/>
      <c r="E19" s="218"/>
      <c r="F19" s="218"/>
      <c r="G19" s="217"/>
      <c r="H19" s="72"/>
      <c r="I19" s="73"/>
    </row>
    <row r="20" spans="1:9" ht="12.75" customHeight="1" x14ac:dyDescent="0.2">
      <c r="A20" s="96" t="s">
        <v>129</v>
      </c>
      <c r="B20" s="231" t="s">
        <v>176</v>
      </c>
      <c r="C20" s="232"/>
      <c r="D20" s="231" t="s">
        <v>358</v>
      </c>
      <c r="E20" s="256"/>
      <c r="F20" s="256"/>
      <c r="G20" s="232"/>
      <c r="H20" s="97"/>
      <c r="I20" s="80"/>
    </row>
    <row r="21" spans="1:9" ht="25.5" customHeight="1" x14ac:dyDescent="0.2">
      <c r="A21" s="96" t="s">
        <v>121</v>
      </c>
      <c r="B21" s="243" t="s">
        <v>463</v>
      </c>
      <c r="C21" s="244"/>
      <c r="D21" s="243"/>
      <c r="E21" s="245"/>
      <c r="F21" s="245"/>
      <c r="G21" s="244"/>
      <c r="H21" s="83"/>
      <c r="I21" s="84">
        <f>ROUND(($I$18),2)</f>
        <v>1360</v>
      </c>
    </row>
    <row r="22" spans="1:9" ht="25.5" customHeight="1" x14ac:dyDescent="0.2">
      <c r="A22" s="65" t="s">
        <v>123</v>
      </c>
      <c r="B22" s="228" t="s">
        <v>464</v>
      </c>
      <c r="C22" s="229"/>
      <c r="D22" s="228"/>
      <c r="E22" s="230"/>
      <c r="F22" s="230"/>
      <c r="G22" s="229"/>
      <c r="H22" s="66"/>
      <c r="I22" s="70">
        <f>ROUND(($I$21),2)</f>
        <v>1360</v>
      </c>
    </row>
    <row r="23" spans="1:9" ht="38.25" customHeight="1" x14ac:dyDescent="0.2">
      <c r="A23" s="65" t="s">
        <v>7</v>
      </c>
      <c r="B23" s="228" t="s">
        <v>115</v>
      </c>
      <c r="C23" s="229"/>
      <c r="D23" s="228" t="s">
        <v>465</v>
      </c>
      <c r="E23" s="230"/>
      <c r="F23" s="230"/>
      <c r="G23" s="229"/>
      <c r="H23" s="66"/>
      <c r="I23" s="67"/>
    </row>
    <row r="24" spans="1:9" ht="234.6" customHeight="1" x14ac:dyDescent="0.2">
      <c r="A24" s="85" t="s">
        <v>125</v>
      </c>
      <c r="B24" s="211" t="s">
        <v>466</v>
      </c>
      <c r="C24" s="212"/>
      <c r="D24" s="213" t="s">
        <v>467</v>
      </c>
      <c r="E24" s="214"/>
      <c r="F24" s="214"/>
      <c r="G24" s="215"/>
      <c r="H24" s="87" t="s">
        <v>468</v>
      </c>
      <c r="I24" s="88">
        <f>ROUND(390  * 10 * 1,2)</f>
        <v>3900</v>
      </c>
    </row>
    <row r="25" spans="1:9" ht="15.75" customHeight="1" x14ac:dyDescent="0.2">
      <c r="A25" s="71" t="s">
        <v>129</v>
      </c>
      <c r="B25" s="216" t="s">
        <v>130</v>
      </c>
      <c r="C25" s="217"/>
      <c r="D25" s="216"/>
      <c r="E25" s="218"/>
      <c r="F25" s="218"/>
      <c r="G25" s="217"/>
      <c r="H25" s="72"/>
      <c r="I25" s="73"/>
    </row>
    <row r="26" spans="1:9" ht="12.75" customHeight="1" x14ac:dyDescent="0.2">
      <c r="A26" s="96" t="s">
        <v>129</v>
      </c>
      <c r="B26" s="231" t="s">
        <v>176</v>
      </c>
      <c r="C26" s="232"/>
      <c r="D26" s="231" t="s">
        <v>358</v>
      </c>
      <c r="E26" s="256"/>
      <c r="F26" s="256"/>
      <c r="G26" s="232"/>
      <c r="H26" s="97"/>
      <c r="I26" s="80"/>
    </row>
    <row r="27" spans="1:9" ht="51" customHeight="1" x14ac:dyDescent="0.2">
      <c r="A27" s="96" t="s">
        <v>139</v>
      </c>
      <c r="B27" s="243" t="s">
        <v>469</v>
      </c>
      <c r="C27" s="244"/>
      <c r="D27" s="243"/>
      <c r="E27" s="245"/>
      <c r="F27" s="245"/>
      <c r="G27" s="244"/>
      <c r="H27" s="83"/>
      <c r="I27" s="84">
        <f>ROUND(($I$24),2)</f>
        <v>3900</v>
      </c>
    </row>
    <row r="28" spans="1:9" ht="51" customHeight="1" x14ac:dyDescent="0.2">
      <c r="A28" s="65" t="s">
        <v>145</v>
      </c>
      <c r="B28" s="228" t="s">
        <v>470</v>
      </c>
      <c r="C28" s="229"/>
      <c r="D28" s="228"/>
      <c r="E28" s="230"/>
      <c r="F28" s="230"/>
      <c r="G28" s="229"/>
      <c r="H28" s="66"/>
      <c r="I28" s="70">
        <f>ROUND(($I$27),2)</f>
        <v>3900</v>
      </c>
    </row>
    <row r="29" spans="1:9" ht="25.5" customHeight="1" x14ac:dyDescent="0.2">
      <c r="A29" s="65" t="s">
        <v>23</v>
      </c>
      <c r="B29" s="228" t="s">
        <v>115</v>
      </c>
      <c r="C29" s="229"/>
      <c r="D29" s="228" t="s">
        <v>471</v>
      </c>
      <c r="E29" s="230"/>
      <c r="F29" s="230"/>
      <c r="G29" s="229"/>
      <c r="H29" s="66"/>
      <c r="I29" s="67"/>
    </row>
    <row r="30" spans="1:9" ht="158.1" customHeight="1" x14ac:dyDescent="0.2">
      <c r="A30" s="85" t="s">
        <v>149</v>
      </c>
      <c r="B30" s="211" t="s">
        <v>472</v>
      </c>
      <c r="C30" s="212"/>
      <c r="D30" s="213" t="s">
        <v>473</v>
      </c>
      <c r="E30" s="214"/>
      <c r="F30" s="214"/>
      <c r="G30" s="215"/>
      <c r="H30" s="87" t="s">
        <v>474</v>
      </c>
      <c r="I30" s="88">
        <f>ROUND(660  * 1 * 1,2)</f>
        <v>660</v>
      </c>
    </row>
    <row r="31" spans="1:9" ht="15.75" customHeight="1" x14ac:dyDescent="0.2">
      <c r="A31" s="71" t="s">
        <v>129</v>
      </c>
      <c r="B31" s="216" t="s">
        <v>130</v>
      </c>
      <c r="C31" s="217"/>
      <c r="D31" s="216"/>
      <c r="E31" s="218"/>
      <c r="F31" s="218"/>
      <c r="G31" s="217"/>
      <c r="H31" s="72"/>
      <c r="I31" s="73"/>
    </row>
    <row r="32" spans="1:9" ht="12.75" customHeight="1" x14ac:dyDescent="0.2">
      <c r="A32" s="96" t="s">
        <v>129</v>
      </c>
      <c r="B32" s="231" t="s">
        <v>176</v>
      </c>
      <c r="C32" s="232"/>
      <c r="D32" s="231" t="s">
        <v>358</v>
      </c>
      <c r="E32" s="256"/>
      <c r="F32" s="256"/>
      <c r="G32" s="232"/>
      <c r="H32" s="97"/>
      <c r="I32" s="80"/>
    </row>
    <row r="33" spans="1:9" ht="107.1" customHeight="1" x14ac:dyDescent="0.2">
      <c r="A33" s="90" t="s">
        <v>160</v>
      </c>
      <c r="B33" s="236" t="s">
        <v>475</v>
      </c>
      <c r="C33" s="237"/>
      <c r="D33" s="238" t="s">
        <v>476</v>
      </c>
      <c r="E33" s="189"/>
      <c r="F33" s="189"/>
      <c r="G33" s="239"/>
      <c r="H33" s="81" t="s">
        <v>477</v>
      </c>
      <c r="I33" s="82">
        <f>ROUND(7.85  * 48 * 1,2)</f>
        <v>376.8</v>
      </c>
    </row>
    <row r="34" spans="1:9" ht="15.75" customHeight="1" x14ac:dyDescent="0.2">
      <c r="A34" s="71" t="s">
        <v>129</v>
      </c>
      <c r="B34" s="216" t="s">
        <v>130</v>
      </c>
      <c r="C34" s="217"/>
      <c r="D34" s="216"/>
      <c r="E34" s="218"/>
      <c r="F34" s="218"/>
      <c r="G34" s="217"/>
      <c r="H34" s="72"/>
      <c r="I34" s="73"/>
    </row>
    <row r="35" spans="1:9" ht="12.75" customHeight="1" x14ac:dyDescent="0.2">
      <c r="A35" s="96" t="s">
        <v>129</v>
      </c>
      <c r="B35" s="231" t="s">
        <v>176</v>
      </c>
      <c r="C35" s="232"/>
      <c r="D35" s="231" t="s">
        <v>358</v>
      </c>
      <c r="E35" s="256"/>
      <c r="F35" s="256"/>
      <c r="G35" s="232"/>
      <c r="H35" s="97"/>
      <c r="I35" s="80"/>
    </row>
    <row r="36" spans="1:9" ht="119.85" customHeight="1" x14ac:dyDescent="0.2">
      <c r="A36" s="90" t="s">
        <v>166</v>
      </c>
      <c r="B36" s="236" t="s">
        <v>478</v>
      </c>
      <c r="C36" s="237"/>
      <c r="D36" s="238" t="s">
        <v>479</v>
      </c>
      <c r="E36" s="189"/>
      <c r="F36" s="189"/>
      <c r="G36" s="239"/>
      <c r="H36" s="81" t="s">
        <v>480</v>
      </c>
      <c r="I36" s="82">
        <f>ROUND(78  * 2 * 1,2)</f>
        <v>156</v>
      </c>
    </row>
    <row r="37" spans="1:9" ht="15.75" customHeight="1" x14ac:dyDescent="0.2">
      <c r="A37" s="71" t="s">
        <v>129</v>
      </c>
      <c r="B37" s="216" t="s">
        <v>130</v>
      </c>
      <c r="C37" s="217"/>
      <c r="D37" s="216"/>
      <c r="E37" s="218"/>
      <c r="F37" s="218"/>
      <c r="G37" s="217"/>
      <c r="H37" s="72"/>
      <c r="I37" s="73"/>
    </row>
    <row r="38" spans="1:9" ht="12.75" customHeight="1" x14ac:dyDescent="0.2">
      <c r="A38" s="96" t="s">
        <v>129</v>
      </c>
      <c r="B38" s="231" t="s">
        <v>176</v>
      </c>
      <c r="C38" s="232"/>
      <c r="D38" s="231" t="s">
        <v>358</v>
      </c>
      <c r="E38" s="256"/>
      <c r="F38" s="256"/>
      <c r="G38" s="232"/>
      <c r="H38" s="97"/>
      <c r="I38" s="80"/>
    </row>
    <row r="39" spans="1:9" ht="38.25" customHeight="1" x14ac:dyDescent="0.2">
      <c r="A39" s="96" t="s">
        <v>171</v>
      </c>
      <c r="B39" s="243" t="s">
        <v>481</v>
      </c>
      <c r="C39" s="244"/>
      <c r="D39" s="243"/>
      <c r="E39" s="245"/>
      <c r="F39" s="245"/>
      <c r="G39" s="244"/>
      <c r="H39" s="83"/>
      <c r="I39" s="84">
        <f>ROUND((SUM($I$30:$I$36)),2)</f>
        <v>1192.8</v>
      </c>
    </row>
    <row r="40" spans="1:9" ht="38.25" customHeight="1" x14ac:dyDescent="0.2">
      <c r="A40" s="65" t="s">
        <v>180</v>
      </c>
      <c r="B40" s="228" t="s">
        <v>482</v>
      </c>
      <c r="C40" s="229"/>
      <c r="D40" s="228"/>
      <c r="E40" s="230"/>
      <c r="F40" s="230"/>
      <c r="G40" s="229"/>
      <c r="H40" s="66"/>
      <c r="I40" s="70">
        <f>ROUND(($I$39),2)</f>
        <v>1192.8</v>
      </c>
    </row>
    <row r="41" spans="1:9" ht="12.75" customHeight="1" x14ac:dyDescent="0.2">
      <c r="A41" s="65" t="s">
        <v>24</v>
      </c>
      <c r="B41" s="228" t="s">
        <v>213</v>
      </c>
      <c r="C41" s="229"/>
      <c r="D41" s="228"/>
      <c r="E41" s="230"/>
      <c r="F41" s="230"/>
      <c r="G41" s="229"/>
      <c r="H41" s="66"/>
      <c r="I41" s="70">
        <f>ROUND(($I$22 + $I$28 + $I$40),2)</f>
        <v>6452.8</v>
      </c>
    </row>
    <row r="42" spans="1:9" ht="51" customHeight="1" x14ac:dyDescent="0.2">
      <c r="A42" s="65" t="s">
        <v>25</v>
      </c>
      <c r="B42" s="246" t="s">
        <v>483</v>
      </c>
      <c r="C42" s="247"/>
      <c r="D42" s="246" t="s">
        <v>484</v>
      </c>
      <c r="E42" s="248"/>
      <c r="F42" s="248"/>
      <c r="G42" s="247"/>
      <c r="H42" s="68" t="s">
        <v>485</v>
      </c>
      <c r="I42" s="69">
        <f>ROUND(($I$41) * 58.4 * 1,2)</f>
        <v>376843.52000000002</v>
      </c>
    </row>
    <row r="43" spans="1:9" ht="12.75" customHeight="1" x14ac:dyDescent="0.2">
      <c r="A43" s="65" t="s">
        <v>26</v>
      </c>
      <c r="B43" s="228" t="s">
        <v>214</v>
      </c>
      <c r="C43" s="229"/>
      <c r="D43" s="228"/>
      <c r="E43" s="230"/>
      <c r="F43" s="230"/>
      <c r="G43" s="229"/>
      <c r="H43" s="66"/>
      <c r="I43" s="70">
        <f>ROUND(($I$42),2)</f>
        <v>376843.52000000002</v>
      </c>
    </row>
    <row r="44" spans="1:9" ht="12.75" customHeight="1" x14ac:dyDescent="0.2"/>
    <row r="45" spans="1:9" s="93" customFormat="1" ht="24.95" customHeight="1" x14ac:dyDescent="0.25">
      <c r="A45" s="189" t="s">
        <v>215</v>
      </c>
      <c r="B45" s="189"/>
      <c r="C45" s="189"/>
      <c r="D45" s="189"/>
      <c r="E45" s="189"/>
      <c r="F45" s="189"/>
      <c r="G45" s="189"/>
      <c r="H45" s="189"/>
      <c r="I45" s="189"/>
    </row>
    <row r="46" spans="1:9" ht="12.75" customHeight="1" x14ac:dyDescent="0.2">
      <c r="D46" s="95"/>
    </row>
  </sheetData>
  <mergeCells count="73">
    <mergeCell ref="B42:C42"/>
    <mergeCell ref="D42:G42"/>
    <mergeCell ref="B43:C43"/>
    <mergeCell ref="D43:G43"/>
    <mergeCell ref="A45:C45"/>
    <mergeCell ref="D45:I45"/>
    <mergeCell ref="B39:C39"/>
    <mergeCell ref="D39:G39"/>
    <mergeCell ref="B40:C40"/>
    <mergeCell ref="D40:G40"/>
    <mergeCell ref="B41:C41"/>
    <mergeCell ref="D41:G41"/>
    <mergeCell ref="B36:C36"/>
    <mergeCell ref="D36:G36"/>
    <mergeCell ref="B37:C37"/>
    <mergeCell ref="D37:G37"/>
    <mergeCell ref="B38:C38"/>
    <mergeCell ref="D38:G38"/>
    <mergeCell ref="B33:C33"/>
    <mergeCell ref="D33:G33"/>
    <mergeCell ref="B34:C34"/>
    <mergeCell ref="D34:G34"/>
    <mergeCell ref="B35:C35"/>
    <mergeCell ref="D35:G35"/>
    <mergeCell ref="B30:C30"/>
    <mergeCell ref="D30:G30"/>
    <mergeCell ref="B31:C31"/>
    <mergeCell ref="D31:G31"/>
    <mergeCell ref="B32:C32"/>
    <mergeCell ref="D32:G32"/>
    <mergeCell ref="B27:C27"/>
    <mergeCell ref="D27:G27"/>
    <mergeCell ref="B28:C28"/>
    <mergeCell ref="D28:G28"/>
    <mergeCell ref="B29:C29"/>
    <mergeCell ref="D29:G29"/>
    <mergeCell ref="B24:C24"/>
    <mergeCell ref="D24:G24"/>
    <mergeCell ref="B25:C25"/>
    <mergeCell ref="D25:G25"/>
    <mergeCell ref="B26:C26"/>
    <mergeCell ref="D26:G26"/>
    <mergeCell ref="B21:C21"/>
    <mergeCell ref="D21:G21"/>
    <mergeCell ref="B22:C22"/>
    <mergeCell ref="D22:G22"/>
    <mergeCell ref="B23:C23"/>
    <mergeCell ref="D23:G23"/>
    <mergeCell ref="B18:C18"/>
    <mergeCell ref="D18:G18"/>
    <mergeCell ref="B19:C19"/>
    <mergeCell ref="D19:G19"/>
    <mergeCell ref="B20:C20"/>
    <mergeCell ref="D20:G20"/>
    <mergeCell ref="B17:C17"/>
    <mergeCell ref="D17:G17"/>
    <mergeCell ref="A8:C8"/>
    <mergeCell ref="D8:I8"/>
    <mergeCell ref="A10:C10"/>
    <mergeCell ref="D10:I10"/>
    <mergeCell ref="A12:C12"/>
    <mergeCell ref="D12:I12"/>
    <mergeCell ref="A14:I14"/>
    <mergeCell ref="B15:C15"/>
    <mergeCell ref="D15:G15"/>
    <mergeCell ref="B16:C16"/>
    <mergeCell ref="D16:G16"/>
    <mergeCell ref="A1:C1"/>
    <mergeCell ref="D1:I1"/>
    <mergeCell ref="A3:I3"/>
    <mergeCell ref="A4:I4"/>
    <mergeCell ref="A6:C6"/>
    <mergeCell ref="D6:I6"/>
  </mergeCells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A7816-53C2-412A-818B-78F8756CD8AA}">
  <dimension ref="A1:I140"/>
  <sheetViews>
    <sheetView topLeftCell="A136" workbookViewId="0">
      <selection activeCell="D139" sqref="D139:I139"/>
    </sheetView>
  </sheetViews>
  <sheetFormatPr defaultColWidth="11.5703125" defaultRowHeight="12.75" x14ac:dyDescent="0.2"/>
  <cols>
    <col min="1" max="1" width="3.7109375" style="107" customWidth="1"/>
    <col min="2" max="2" width="10.7109375" style="107" customWidth="1"/>
    <col min="3" max="3" width="15.5703125" style="107" customWidth="1"/>
    <col min="4" max="4" width="4.42578125" style="107" customWidth="1"/>
    <col min="5" max="7" width="9.28515625" style="107" customWidth="1"/>
    <col min="8" max="8" width="19.7109375" style="107" customWidth="1"/>
    <col min="9" max="9" width="14.7109375" style="107" customWidth="1"/>
    <col min="10" max="10" width="19.7109375" style="58" customWidth="1"/>
    <col min="11" max="16384" width="11.5703125" style="58"/>
  </cols>
  <sheetData>
    <row r="1" spans="1:9" ht="25.5" customHeight="1" x14ac:dyDescent="0.2">
      <c r="A1" s="208" t="s">
        <v>99</v>
      </c>
      <c r="B1" s="208"/>
      <c r="C1" s="208"/>
      <c r="D1" s="192" t="s">
        <v>911</v>
      </c>
      <c r="E1" s="192"/>
      <c r="F1" s="192"/>
      <c r="G1" s="192"/>
      <c r="H1" s="192"/>
      <c r="I1" s="192"/>
    </row>
    <row r="2" spans="1:9" x14ac:dyDescent="0.2">
      <c r="A2" s="59"/>
      <c r="B2" s="59"/>
      <c r="C2" s="59"/>
      <c r="D2" s="60"/>
      <c r="E2" s="60"/>
      <c r="F2" s="60"/>
      <c r="G2" s="60"/>
      <c r="H2" s="60"/>
      <c r="I2" s="60"/>
    </row>
    <row r="3" spans="1:9" x14ac:dyDescent="0.2">
      <c r="A3" s="193" t="s">
        <v>495</v>
      </c>
      <c r="B3" s="193"/>
      <c r="C3" s="193"/>
      <c r="D3" s="193"/>
      <c r="E3" s="193"/>
      <c r="F3" s="193"/>
      <c r="G3" s="193"/>
      <c r="H3" s="193"/>
      <c r="I3" s="193"/>
    </row>
    <row r="4" spans="1:9" x14ac:dyDescent="0.2">
      <c r="A4" s="209" t="s">
        <v>101</v>
      </c>
      <c r="B4" s="209"/>
      <c r="C4" s="209"/>
      <c r="D4" s="209"/>
      <c r="E4" s="209"/>
      <c r="F4" s="209"/>
      <c r="G4" s="209"/>
      <c r="H4" s="209"/>
      <c r="I4" s="209"/>
    </row>
    <row r="5" spans="1:9" x14ac:dyDescent="0.2">
      <c r="A5" s="92"/>
      <c r="B5" s="92"/>
      <c r="C5" s="92"/>
      <c r="D5" s="92"/>
      <c r="E5" s="92"/>
      <c r="F5" s="92"/>
      <c r="G5" s="92"/>
      <c r="H5" s="92"/>
      <c r="I5" s="92"/>
    </row>
    <row r="6" spans="1:9" ht="51" customHeight="1" x14ac:dyDescent="0.2">
      <c r="A6" s="210" t="s">
        <v>102</v>
      </c>
      <c r="B6" s="210"/>
      <c r="C6" s="210"/>
      <c r="D6" s="189" t="s">
        <v>87</v>
      </c>
      <c r="E6" s="189"/>
      <c r="F6" s="189"/>
      <c r="G6" s="189"/>
      <c r="H6" s="189"/>
      <c r="I6" s="189"/>
    </row>
    <row r="7" spans="1:9" ht="3.75" customHeight="1" x14ac:dyDescent="0.2">
      <c r="D7" s="59"/>
      <c r="E7" s="59"/>
      <c r="F7" s="59"/>
      <c r="G7" s="59"/>
    </row>
    <row r="8" spans="1:9" ht="66" customHeight="1" x14ac:dyDescent="0.2">
      <c r="A8" s="189" t="s">
        <v>103</v>
      </c>
      <c r="B8" s="189"/>
      <c r="C8" s="189"/>
      <c r="D8" s="196" t="s">
        <v>496</v>
      </c>
      <c r="E8" s="196"/>
      <c r="F8" s="196"/>
      <c r="G8" s="196"/>
      <c r="H8" s="196"/>
      <c r="I8" s="196"/>
    </row>
    <row r="9" spans="1:9" ht="3.95" customHeight="1" x14ac:dyDescent="0.2">
      <c r="A9" s="94"/>
      <c r="B9" s="94"/>
      <c r="C9" s="94"/>
    </row>
    <row r="10" spans="1:9" ht="41.25" customHeight="1" x14ac:dyDescent="0.2">
      <c r="A10" s="189" t="s">
        <v>105</v>
      </c>
      <c r="B10" s="189"/>
      <c r="C10" s="189"/>
      <c r="D10" s="189"/>
      <c r="E10" s="189"/>
      <c r="F10" s="189"/>
      <c r="G10" s="189"/>
      <c r="H10" s="189"/>
      <c r="I10" s="189"/>
    </row>
    <row r="11" spans="1:9" ht="3.95" customHeight="1" x14ac:dyDescent="0.2"/>
    <row r="12" spans="1:9" ht="30" customHeight="1" x14ac:dyDescent="0.2">
      <c r="A12" s="189" t="s">
        <v>106</v>
      </c>
      <c r="B12" s="189"/>
      <c r="C12" s="189"/>
      <c r="D12" s="189"/>
      <c r="E12" s="189"/>
      <c r="F12" s="189"/>
      <c r="G12" s="189"/>
      <c r="H12" s="189"/>
      <c r="I12" s="189"/>
    </row>
    <row r="13" spans="1:9" ht="3.75" customHeight="1" x14ac:dyDescent="0.2">
      <c r="A13" s="94"/>
      <c r="B13" s="94"/>
      <c r="C13" s="94"/>
      <c r="D13" s="63"/>
      <c r="E13" s="63"/>
      <c r="F13" s="63"/>
      <c r="G13" s="63"/>
      <c r="H13" s="94"/>
      <c r="I13" s="94"/>
    </row>
    <row r="14" spans="1:9" ht="12.75" customHeight="1" x14ac:dyDescent="0.2">
      <c r="A14" s="198" t="s">
        <v>218</v>
      </c>
      <c r="B14" s="198"/>
      <c r="C14" s="198"/>
      <c r="D14" s="198"/>
      <c r="E14" s="198"/>
      <c r="F14" s="198"/>
      <c r="G14" s="198"/>
      <c r="H14" s="198"/>
      <c r="I14" s="198"/>
    </row>
    <row r="15" spans="1:9" ht="100.5" customHeight="1" x14ac:dyDescent="0.2">
      <c r="A15" s="137" t="s">
        <v>108</v>
      </c>
      <c r="B15" s="222" t="s">
        <v>109</v>
      </c>
      <c r="C15" s="223"/>
      <c r="D15" s="222" t="s">
        <v>110</v>
      </c>
      <c r="E15" s="224"/>
      <c r="F15" s="224"/>
      <c r="G15" s="223"/>
      <c r="H15" s="138" t="s">
        <v>113</v>
      </c>
      <c r="I15" s="137" t="s">
        <v>114</v>
      </c>
    </row>
    <row r="16" spans="1:9" x14ac:dyDescent="0.2">
      <c r="A16" s="128" t="s">
        <v>6</v>
      </c>
      <c r="B16" s="255">
        <v>2</v>
      </c>
      <c r="C16" s="226"/>
      <c r="D16" s="255">
        <v>3</v>
      </c>
      <c r="E16" s="227"/>
      <c r="F16" s="227"/>
      <c r="G16" s="226"/>
      <c r="H16" s="129">
        <v>4</v>
      </c>
      <c r="I16" s="129">
        <v>5</v>
      </c>
    </row>
    <row r="17" spans="1:9" ht="170.85" customHeight="1" x14ac:dyDescent="0.2">
      <c r="A17" s="85" t="s">
        <v>6</v>
      </c>
      <c r="B17" s="211" t="s">
        <v>933</v>
      </c>
      <c r="C17" s="212"/>
      <c r="D17" s="213" t="s">
        <v>497</v>
      </c>
      <c r="E17" s="214"/>
      <c r="F17" s="214"/>
      <c r="G17" s="215"/>
      <c r="H17" s="87" t="s">
        <v>498</v>
      </c>
      <c r="I17" s="88">
        <f>ROUND(270  * 1 * 1 * 1.5,2)</f>
        <v>405</v>
      </c>
    </row>
    <row r="18" spans="1:9" ht="15.75" customHeight="1" x14ac:dyDescent="0.2">
      <c r="A18" s="71" t="s">
        <v>129</v>
      </c>
      <c r="B18" s="216" t="s">
        <v>130</v>
      </c>
      <c r="C18" s="217"/>
      <c r="D18" s="216"/>
      <c r="E18" s="218"/>
      <c r="F18" s="218"/>
      <c r="G18" s="217"/>
      <c r="H18" s="72"/>
      <c r="I18" s="73"/>
    </row>
    <row r="19" spans="1:9" ht="12.75" customHeight="1" x14ac:dyDescent="0.2">
      <c r="A19" s="74" t="s">
        <v>129</v>
      </c>
      <c r="B19" s="219" t="s">
        <v>176</v>
      </c>
      <c r="C19" s="220"/>
      <c r="D19" s="219" t="s">
        <v>358</v>
      </c>
      <c r="E19" s="221"/>
      <c r="F19" s="221"/>
      <c r="G19" s="220"/>
      <c r="H19" s="75"/>
      <c r="I19" s="76"/>
    </row>
    <row r="20" spans="1:9" ht="63.75" customHeight="1" x14ac:dyDescent="0.2">
      <c r="A20" s="74" t="s">
        <v>129</v>
      </c>
      <c r="B20" s="219" t="s">
        <v>499</v>
      </c>
      <c r="C20" s="220"/>
      <c r="D20" s="219" t="s">
        <v>500</v>
      </c>
      <c r="E20" s="221"/>
      <c r="F20" s="221"/>
      <c r="G20" s="220"/>
      <c r="H20" s="75"/>
      <c r="I20" s="76"/>
    </row>
    <row r="21" spans="1:9" ht="15.75" customHeight="1" x14ac:dyDescent="0.2">
      <c r="A21" s="74" t="s">
        <v>129</v>
      </c>
      <c r="B21" s="240" t="s">
        <v>137</v>
      </c>
      <c r="C21" s="241"/>
      <c r="D21" s="240"/>
      <c r="E21" s="242"/>
      <c r="F21" s="242"/>
      <c r="G21" s="241"/>
      <c r="H21" s="77"/>
      <c r="I21" s="78"/>
    </row>
    <row r="22" spans="1:9" ht="38.25" customHeight="1" x14ac:dyDescent="0.2">
      <c r="A22" s="74" t="s">
        <v>129</v>
      </c>
      <c r="B22" s="219" t="s">
        <v>501</v>
      </c>
      <c r="C22" s="220"/>
      <c r="D22" s="249">
        <v>0.3</v>
      </c>
      <c r="E22" s="250"/>
      <c r="F22" s="250"/>
      <c r="G22" s="251"/>
      <c r="H22" s="75"/>
      <c r="I22" s="76"/>
    </row>
    <row r="23" spans="1:9" ht="25.5" customHeight="1" x14ac:dyDescent="0.2">
      <c r="A23" s="96" t="s">
        <v>129</v>
      </c>
      <c r="B23" s="231" t="s">
        <v>502</v>
      </c>
      <c r="C23" s="232"/>
      <c r="D23" s="233">
        <v>0.7</v>
      </c>
      <c r="E23" s="234"/>
      <c r="F23" s="234"/>
      <c r="G23" s="235"/>
      <c r="H23" s="97"/>
      <c r="I23" s="80"/>
    </row>
    <row r="24" spans="1:9" ht="170.85" customHeight="1" x14ac:dyDescent="0.2">
      <c r="A24" s="90" t="s">
        <v>7</v>
      </c>
      <c r="B24" s="236" t="s">
        <v>503</v>
      </c>
      <c r="C24" s="237"/>
      <c r="D24" s="238" t="s">
        <v>504</v>
      </c>
      <c r="E24" s="189"/>
      <c r="F24" s="189"/>
      <c r="G24" s="239"/>
      <c r="H24" s="81" t="s">
        <v>505</v>
      </c>
      <c r="I24" s="82">
        <f>ROUND(13  * 1 * 1 * (1 + 0.2),2)</f>
        <v>15.6</v>
      </c>
    </row>
    <row r="25" spans="1:9" ht="15.75" customHeight="1" x14ac:dyDescent="0.2">
      <c r="A25" s="71" t="s">
        <v>129</v>
      </c>
      <c r="B25" s="216" t="s">
        <v>130</v>
      </c>
      <c r="C25" s="217"/>
      <c r="D25" s="216"/>
      <c r="E25" s="218"/>
      <c r="F25" s="218"/>
      <c r="G25" s="217"/>
      <c r="H25" s="72"/>
      <c r="I25" s="73"/>
    </row>
    <row r="26" spans="1:9" ht="12.75" customHeight="1" x14ac:dyDescent="0.2">
      <c r="A26" s="74" t="s">
        <v>129</v>
      </c>
      <c r="B26" s="219" t="s">
        <v>176</v>
      </c>
      <c r="C26" s="220"/>
      <c r="D26" s="219" t="s">
        <v>358</v>
      </c>
      <c r="E26" s="221"/>
      <c r="F26" s="221"/>
      <c r="G26" s="220"/>
      <c r="H26" s="75"/>
      <c r="I26" s="76"/>
    </row>
    <row r="27" spans="1:9" ht="38.25" customHeight="1" x14ac:dyDescent="0.2">
      <c r="A27" s="74" t="s">
        <v>129</v>
      </c>
      <c r="B27" s="219" t="s">
        <v>506</v>
      </c>
      <c r="C27" s="220"/>
      <c r="D27" s="219" t="s">
        <v>507</v>
      </c>
      <c r="E27" s="221"/>
      <c r="F27" s="221"/>
      <c r="G27" s="220"/>
      <c r="H27" s="75"/>
      <c r="I27" s="76"/>
    </row>
    <row r="28" spans="1:9" ht="15.75" customHeight="1" x14ac:dyDescent="0.2">
      <c r="A28" s="74" t="s">
        <v>129</v>
      </c>
      <c r="B28" s="240" t="s">
        <v>137</v>
      </c>
      <c r="C28" s="241"/>
      <c r="D28" s="240"/>
      <c r="E28" s="242"/>
      <c r="F28" s="242"/>
      <c r="G28" s="241"/>
      <c r="H28" s="77"/>
      <c r="I28" s="78"/>
    </row>
    <row r="29" spans="1:9" ht="38.25" customHeight="1" x14ac:dyDescent="0.2">
      <c r="A29" s="74" t="s">
        <v>129</v>
      </c>
      <c r="B29" s="219" t="s">
        <v>501</v>
      </c>
      <c r="C29" s="220"/>
      <c r="D29" s="249">
        <v>0.3</v>
      </c>
      <c r="E29" s="250"/>
      <c r="F29" s="250"/>
      <c r="G29" s="251"/>
      <c r="H29" s="75"/>
      <c r="I29" s="76"/>
    </row>
    <row r="30" spans="1:9" ht="25.5" customHeight="1" x14ac:dyDescent="0.2">
      <c r="A30" s="96" t="s">
        <v>129</v>
      </c>
      <c r="B30" s="231" t="s">
        <v>502</v>
      </c>
      <c r="C30" s="232"/>
      <c r="D30" s="233">
        <v>0.7</v>
      </c>
      <c r="E30" s="234"/>
      <c r="F30" s="234"/>
      <c r="G30" s="235"/>
      <c r="H30" s="97"/>
      <c r="I30" s="80"/>
    </row>
    <row r="31" spans="1:9" ht="170.85" customHeight="1" x14ac:dyDescent="0.2">
      <c r="A31" s="90" t="s">
        <v>23</v>
      </c>
      <c r="B31" s="236" t="s">
        <v>508</v>
      </c>
      <c r="C31" s="237"/>
      <c r="D31" s="238" t="s">
        <v>509</v>
      </c>
      <c r="E31" s="189"/>
      <c r="F31" s="189"/>
      <c r="G31" s="239"/>
      <c r="H31" s="81" t="s">
        <v>510</v>
      </c>
      <c r="I31" s="82">
        <f>ROUND(44  * 1 * 1 * (1 + 0.2),2)</f>
        <v>52.8</v>
      </c>
    </row>
    <row r="32" spans="1:9" ht="15.75" customHeight="1" x14ac:dyDescent="0.2">
      <c r="A32" s="71" t="s">
        <v>129</v>
      </c>
      <c r="B32" s="216" t="s">
        <v>130</v>
      </c>
      <c r="C32" s="217"/>
      <c r="D32" s="216"/>
      <c r="E32" s="218"/>
      <c r="F32" s="218"/>
      <c r="G32" s="217"/>
      <c r="H32" s="72"/>
      <c r="I32" s="73"/>
    </row>
    <row r="33" spans="1:9" ht="12.75" customHeight="1" x14ac:dyDescent="0.2">
      <c r="A33" s="74" t="s">
        <v>129</v>
      </c>
      <c r="B33" s="219" t="s">
        <v>176</v>
      </c>
      <c r="C33" s="220"/>
      <c r="D33" s="219" t="s">
        <v>358</v>
      </c>
      <c r="E33" s="221"/>
      <c r="F33" s="221"/>
      <c r="G33" s="220"/>
      <c r="H33" s="75"/>
      <c r="I33" s="76"/>
    </row>
    <row r="34" spans="1:9" ht="38.25" customHeight="1" x14ac:dyDescent="0.2">
      <c r="A34" s="74" t="s">
        <v>129</v>
      </c>
      <c r="B34" s="219" t="s">
        <v>506</v>
      </c>
      <c r="C34" s="220"/>
      <c r="D34" s="219" t="s">
        <v>507</v>
      </c>
      <c r="E34" s="221"/>
      <c r="F34" s="221"/>
      <c r="G34" s="220"/>
      <c r="H34" s="75"/>
      <c r="I34" s="76"/>
    </row>
    <row r="35" spans="1:9" ht="15.75" customHeight="1" x14ac:dyDescent="0.2">
      <c r="A35" s="74" t="s">
        <v>129</v>
      </c>
      <c r="B35" s="240" t="s">
        <v>137</v>
      </c>
      <c r="C35" s="241"/>
      <c r="D35" s="240"/>
      <c r="E35" s="242"/>
      <c r="F35" s="242"/>
      <c r="G35" s="241"/>
      <c r="H35" s="77"/>
      <c r="I35" s="78"/>
    </row>
    <row r="36" spans="1:9" ht="38.25" customHeight="1" x14ac:dyDescent="0.2">
      <c r="A36" s="74" t="s">
        <v>129</v>
      </c>
      <c r="B36" s="219" t="s">
        <v>501</v>
      </c>
      <c r="C36" s="220"/>
      <c r="D36" s="249">
        <v>0.3</v>
      </c>
      <c r="E36" s="250"/>
      <c r="F36" s="250"/>
      <c r="G36" s="251"/>
      <c r="H36" s="75"/>
      <c r="I36" s="76"/>
    </row>
    <row r="37" spans="1:9" ht="25.5" customHeight="1" x14ac:dyDescent="0.2">
      <c r="A37" s="96" t="s">
        <v>129</v>
      </c>
      <c r="B37" s="231" t="s">
        <v>502</v>
      </c>
      <c r="C37" s="232"/>
      <c r="D37" s="233">
        <v>0.7</v>
      </c>
      <c r="E37" s="234"/>
      <c r="F37" s="234"/>
      <c r="G37" s="235"/>
      <c r="H37" s="97"/>
      <c r="I37" s="80"/>
    </row>
    <row r="38" spans="1:9" ht="209.1" customHeight="1" x14ac:dyDescent="0.2">
      <c r="A38" s="90" t="s">
        <v>24</v>
      </c>
      <c r="B38" s="236" t="s">
        <v>511</v>
      </c>
      <c r="C38" s="237"/>
      <c r="D38" s="238" t="s">
        <v>512</v>
      </c>
      <c r="E38" s="189"/>
      <c r="F38" s="189"/>
      <c r="G38" s="239"/>
      <c r="H38" s="81" t="s">
        <v>513</v>
      </c>
      <c r="I38" s="82">
        <f>ROUND((310  - (420  - 310 ) / (500 - 200) * (200 - 75) * 0.6) * 1 * 1 * (1 + 0.2),2)</f>
        <v>339</v>
      </c>
    </row>
    <row r="39" spans="1:9" ht="15.75" customHeight="1" x14ac:dyDescent="0.2">
      <c r="A39" s="71" t="s">
        <v>129</v>
      </c>
      <c r="B39" s="216" t="s">
        <v>130</v>
      </c>
      <c r="C39" s="217"/>
      <c r="D39" s="216"/>
      <c r="E39" s="218"/>
      <c r="F39" s="218"/>
      <c r="G39" s="217"/>
      <c r="H39" s="72"/>
      <c r="I39" s="73"/>
    </row>
    <row r="40" spans="1:9" ht="12.75" customHeight="1" x14ac:dyDescent="0.2">
      <c r="A40" s="74" t="s">
        <v>129</v>
      </c>
      <c r="B40" s="219" t="s">
        <v>176</v>
      </c>
      <c r="C40" s="220"/>
      <c r="D40" s="219" t="s">
        <v>358</v>
      </c>
      <c r="E40" s="221"/>
      <c r="F40" s="221"/>
      <c r="G40" s="220"/>
      <c r="H40" s="75"/>
      <c r="I40" s="76"/>
    </row>
    <row r="41" spans="1:9" ht="38.25" customHeight="1" x14ac:dyDescent="0.2">
      <c r="A41" s="74" t="s">
        <v>129</v>
      </c>
      <c r="B41" s="219" t="s">
        <v>506</v>
      </c>
      <c r="C41" s="220"/>
      <c r="D41" s="219" t="s">
        <v>507</v>
      </c>
      <c r="E41" s="221"/>
      <c r="F41" s="221"/>
      <c r="G41" s="220"/>
      <c r="H41" s="75"/>
      <c r="I41" s="76"/>
    </row>
    <row r="42" spans="1:9" ht="15.75" customHeight="1" x14ac:dyDescent="0.2">
      <c r="A42" s="74" t="s">
        <v>129</v>
      </c>
      <c r="B42" s="240" t="s">
        <v>137</v>
      </c>
      <c r="C42" s="241"/>
      <c r="D42" s="240"/>
      <c r="E42" s="242"/>
      <c r="F42" s="242"/>
      <c r="G42" s="241"/>
      <c r="H42" s="77"/>
      <c r="I42" s="78"/>
    </row>
    <row r="43" spans="1:9" ht="38.25" customHeight="1" x14ac:dyDescent="0.2">
      <c r="A43" s="74" t="s">
        <v>129</v>
      </c>
      <c r="B43" s="219" t="s">
        <v>514</v>
      </c>
      <c r="C43" s="220"/>
      <c r="D43" s="249">
        <v>0.5</v>
      </c>
      <c r="E43" s="250"/>
      <c r="F43" s="250"/>
      <c r="G43" s="251"/>
      <c r="H43" s="75"/>
      <c r="I43" s="76"/>
    </row>
    <row r="44" spans="1:9" ht="51" customHeight="1" x14ac:dyDescent="0.2">
      <c r="A44" s="74" t="s">
        <v>129</v>
      </c>
      <c r="B44" s="219" t="s">
        <v>515</v>
      </c>
      <c r="C44" s="220"/>
      <c r="D44" s="249">
        <v>0.1</v>
      </c>
      <c r="E44" s="250"/>
      <c r="F44" s="250"/>
      <c r="G44" s="251"/>
      <c r="H44" s="75"/>
      <c r="I44" s="76"/>
    </row>
    <row r="45" spans="1:9" ht="25.5" customHeight="1" x14ac:dyDescent="0.2">
      <c r="A45" s="96" t="s">
        <v>129</v>
      </c>
      <c r="B45" s="231" t="s">
        <v>516</v>
      </c>
      <c r="C45" s="232"/>
      <c r="D45" s="233">
        <v>0.4</v>
      </c>
      <c r="E45" s="234"/>
      <c r="F45" s="234"/>
      <c r="G45" s="235"/>
      <c r="H45" s="97"/>
      <c r="I45" s="80"/>
    </row>
    <row r="46" spans="1:9" ht="209.1" customHeight="1" x14ac:dyDescent="0.2">
      <c r="A46" s="90" t="s">
        <v>25</v>
      </c>
      <c r="B46" s="236" t="s">
        <v>517</v>
      </c>
      <c r="C46" s="237"/>
      <c r="D46" s="238" t="s">
        <v>518</v>
      </c>
      <c r="E46" s="189"/>
      <c r="F46" s="189"/>
      <c r="G46" s="239"/>
      <c r="H46" s="81" t="s">
        <v>519</v>
      </c>
      <c r="I46" s="82">
        <f>ROUND((290  - (400  - 290 ) / (500 - 200) * (200 - 75) * 0.6) * 1 * 1 * (1 + 0.2),2)</f>
        <v>315</v>
      </c>
    </row>
    <row r="47" spans="1:9" ht="15.75" customHeight="1" x14ac:dyDescent="0.2">
      <c r="A47" s="71" t="s">
        <v>129</v>
      </c>
      <c r="B47" s="216" t="s">
        <v>130</v>
      </c>
      <c r="C47" s="217"/>
      <c r="D47" s="216"/>
      <c r="E47" s="218"/>
      <c r="F47" s="218"/>
      <c r="G47" s="217"/>
      <c r="H47" s="72"/>
      <c r="I47" s="73"/>
    </row>
    <row r="48" spans="1:9" ht="12.75" customHeight="1" x14ac:dyDescent="0.2">
      <c r="A48" s="74" t="s">
        <v>129</v>
      </c>
      <c r="B48" s="219" t="s">
        <v>176</v>
      </c>
      <c r="C48" s="220"/>
      <c r="D48" s="219" t="s">
        <v>358</v>
      </c>
      <c r="E48" s="221"/>
      <c r="F48" s="221"/>
      <c r="G48" s="220"/>
      <c r="H48" s="75"/>
      <c r="I48" s="76"/>
    </row>
    <row r="49" spans="1:9" ht="38.25" customHeight="1" x14ac:dyDescent="0.2">
      <c r="A49" s="74" t="s">
        <v>129</v>
      </c>
      <c r="B49" s="219" t="s">
        <v>506</v>
      </c>
      <c r="C49" s="220"/>
      <c r="D49" s="219" t="s">
        <v>507</v>
      </c>
      <c r="E49" s="221"/>
      <c r="F49" s="221"/>
      <c r="G49" s="220"/>
      <c r="H49" s="75"/>
      <c r="I49" s="76"/>
    </row>
    <row r="50" spans="1:9" ht="15.75" customHeight="1" x14ac:dyDescent="0.2">
      <c r="A50" s="74" t="s">
        <v>129</v>
      </c>
      <c r="B50" s="240" t="s">
        <v>137</v>
      </c>
      <c r="C50" s="241"/>
      <c r="D50" s="240"/>
      <c r="E50" s="242"/>
      <c r="F50" s="242"/>
      <c r="G50" s="241"/>
      <c r="H50" s="77"/>
      <c r="I50" s="78"/>
    </row>
    <row r="51" spans="1:9" ht="38.25" customHeight="1" x14ac:dyDescent="0.2">
      <c r="A51" s="74" t="s">
        <v>129</v>
      </c>
      <c r="B51" s="219" t="s">
        <v>514</v>
      </c>
      <c r="C51" s="220"/>
      <c r="D51" s="249">
        <v>0.5</v>
      </c>
      <c r="E51" s="250"/>
      <c r="F51" s="250"/>
      <c r="G51" s="251"/>
      <c r="H51" s="75"/>
      <c r="I51" s="76"/>
    </row>
    <row r="52" spans="1:9" ht="51" customHeight="1" x14ac:dyDescent="0.2">
      <c r="A52" s="74" t="s">
        <v>129</v>
      </c>
      <c r="B52" s="219" t="s">
        <v>515</v>
      </c>
      <c r="C52" s="220"/>
      <c r="D52" s="249">
        <v>0.1</v>
      </c>
      <c r="E52" s="250"/>
      <c r="F52" s="250"/>
      <c r="G52" s="251"/>
      <c r="H52" s="75"/>
      <c r="I52" s="76"/>
    </row>
    <row r="53" spans="1:9" ht="25.5" customHeight="1" x14ac:dyDescent="0.2">
      <c r="A53" s="96" t="s">
        <v>129</v>
      </c>
      <c r="B53" s="231" t="s">
        <v>516</v>
      </c>
      <c r="C53" s="232"/>
      <c r="D53" s="233">
        <v>0.4</v>
      </c>
      <c r="E53" s="234"/>
      <c r="F53" s="234"/>
      <c r="G53" s="235"/>
      <c r="H53" s="97"/>
      <c r="I53" s="80"/>
    </row>
    <row r="54" spans="1:9" ht="196.35" customHeight="1" x14ac:dyDescent="0.2">
      <c r="A54" s="206" t="s">
        <v>26</v>
      </c>
      <c r="B54" s="236" t="s">
        <v>520</v>
      </c>
      <c r="C54" s="237"/>
      <c r="D54" s="238" t="s">
        <v>521</v>
      </c>
      <c r="E54" s="189"/>
      <c r="F54" s="189"/>
      <c r="G54" s="239"/>
      <c r="H54" s="202" t="s">
        <v>522</v>
      </c>
      <c r="I54" s="205">
        <f>ROUND(480  * 1 * 1 * (1 + 0.2),2)</f>
        <v>576</v>
      </c>
    </row>
    <row r="55" spans="1:9" ht="12.75" customHeight="1" x14ac:dyDescent="0.2">
      <c r="A55" s="206"/>
      <c r="B55" s="236"/>
      <c r="C55" s="237"/>
      <c r="D55" s="238"/>
      <c r="E55" s="189"/>
      <c r="F55" s="189"/>
      <c r="G55" s="239"/>
      <c r="H55" s="202"/>
      <c r="I55" s="205"/>
    </row>
    <row r="56" spans="1:9" ht="15.75" customHeight="1" x14ac:dyDescent="0.2">
      <c r="A56" s="71" t="s">
        <v>129</v>
      </c>
      <c r="B56" s="216" t="s">
        <v>130</v>
      </c>
      <c r="C56" s="217"/>
      <c r="D56" s="216"/>
      <c r="E56" s="218"/>
      <c r="F56" s="218"/>
      <c r="G56" s="217"/>
      <c r="H56" s="72"/>
      <c r="I56" s="73"/>
    </row>
    <row r="57" spans="1:9" ht="12.75" customHeight="1" x14ac:dyDescent="0.2">
      <c r="A57" s="74" t="s">
        <v>129</v>
      </c>
      <c r="B57" s="219" t="s">
        <v>176</v>
      </c>
      <c r="C57" s="220"/>
      <c r="D57" s="219" t="s">
        <v>358</v>
      </c>
      <c r="E57" s="221"/>
      <c r="F57" s="221"/>
      <c r="G57" s="220"/>
      <c r="H57" s="75"/>
      <c r="I57" s="76"/>
    </row>
    <row r="58" spans="1:9" ht="38.25" customHeight="1" x14ac:dyDescent="0.2">
      <c r="A58" s="74" t="s">
        <v>129</v>
      </c>
      <c r="B58" s="219" t="s">
        <v>506</v>
      </c>
      <c r="C58" s="220"/>
      <c r="D58" s="219" t="s">
        <v>507</v>
      </c>
      <c r="E58" s="221"/>
      <c r="F58" s="221"/>
      <c r="G58" s="220"/>
      <c r="H58" s="75"/>
      <c r="I58" s="76"/>
    </row>
    <row r="59" spans="1:9" ht="15.75" customHeight="1" x14ac:dyDescent="0.2">
      <c r="A59" s="74" t="s">
        <v>129</v>
      </c>
      <c r="B59" s="240" t="s">
        <v>137</v>
      </c>
      <c r="C59" s="241"/>
      <c r="D59" s="240"/>
      <c r="E59" s="242"/>
      <c r="F59" s="242"/>
      <c r="G59" s="241"/>
      <c r="H59" s="77"/>
      <c r="I59" s="78"/>
    </row>
    <row r="60" spans="1:9" ht="38.25" customHeight="1" x14ac:dyDescent="0.2">
      <c r="A60" s="74" t="s">
        <v>129</v>
      </c>
      <c r="B60" s="219" t="s">
        <v>523</v>
      </c>
      <c r="C60" s="220"/>
      <c r="D60" s="249">
        <v>0.5</v>
      </c>
      <c r="E60" s="250"/>
      <c r="F60" s="250"/>
      <c r="G60" s="251"/>
      <c r="H60" s="75"/>
      <c r="I60" s="76"/>
    </row>
    <row r="61" spans="1:9" ht="63.75" customHeight="1" x14ac:dyDescent="0.2">
      <c r="A61" s="74" t="s">
        <v>129</v>
      </c>
      <c r="B61" s="219" t="s">
        <v>524</v>
      </c>
      <c r="C61" s="220"/>
      <c r="D61" s="249">
        <v>0.1</v>
      </c>
      <c r="E61" s="250"/>
      <c r="F61" s="250"/>
      <c r="G61" s="251"/>
      <c r="H61" s="75"/>
      <c r="I61" s="76"/>
    </row>
    <row r="62" spans="1:9" ht="51" customHeight="1" x14ac:dyDescent="0.2">
      <c r="A62" s="96" t="s">
        <v>129</v>
      </c>
      <c r="B62" s="231" t="s">
        <v>525</v>
      </c>
      <c r="C62" s="232"/>
      <c r="D62" s="233">
        <v>0.4</v>
      </c>
      <c r="E62" s="234"/>
      <c r="F62" s="234"/>
      <c r="G62" s="235"/>
      <c r="H62" s="97"/>
      <c r="I62" s="80"/>
    </row>
    <row r="63" spans="1:9" ht="209.1" customHeight="1" x14ac:dyDescent="0.2">
      <c r="A63" s="90" t="s">
        <v>27</v>
      </c>
      <c r="B63" s="236" t="s">
        <v>526</v>
      </c>
      <c r="C63" s="237"/>
      <c r="D63" s="238" t="s">
        <v>527</v>
      </c>
      <c r="E63" s="189"/>
      <c r="F63" s="189"/>
      <c r="G63" s="239"/>
      <c r="H63" s="81" t="s">
        <v>528</v>
      </c>
      <c r="I63" s="82">
        <f>ROUND(510  * 1 * 1 * (1 + 0.2 + 0.3),2)</f>
        <v>765</v>
      </c>
    </row>
    <row r="64" spans="1:9" ht="15.75" customHeight="1" x14ac:dyDescent="0.2">
      <c r="A64" s="71" t="s">
        <v>129</v>
      </c>
      <c r="B64" s="216" t="s">
        <v>130</v>
      </c>
      <c r="C64" s="217"/>
      <c r="D64" s="216"/>
      <c r="E64" s="218"/>
      <c r="F64" s="218"/>
      <c r="G64" s="217"/>
      <c r="H64" s="72"/>
      <c r="I64" s="73"/>
    </row>
    <row r="65" spans="1:9" ht="12.75" customHeight="1" x14ac:dyDescent="0.2">
      <c r="A65" s="74" t="s">
        <v>129</v>
      </c>
      <c r="B65" s="219" t="s">
        <v>176</v>
      </c>
      <c r="C65" s="220"/>
      <c r="D65" s="219" t="s">
        <v>358</v>
      </c>
      <c r="E65" s="221"/>
      <c r="F65" s="221"/>
      <c r="G65" s="220"/>
      <c r="H65" s="75"/>
      <c r="I65" s="76"/>
    </row>
    <row r="66" spans="1:9" ht="38.25" customHeight="1" x14ac:dyDescent="0.2">
      <c r="A66" s="74" t="s">
        <v>129</v>
      </c>
      <c r="B66" s="219" t="s">
        <v>506</v>
      </c>
      <c r="C66" s="220"/>
      <c r="D66" s="219" t="s">
        <v>507</v>
      </c>
      <c r="E66" s="221"/>
      <c r="F66" s="221"/>
      <c r="G66" s="220"/>
      <c r="H66" s="75"/>
      <c r="I66" s="76"/>
    </row>
    <row r="67" spans="1:9" ht="51" customHeight="1" x14ac:dyDescent="0.2">
      <c r="A67" s="74" t="s">
        <v>129</v>
      </c>
      <c r="B67" s="219" t="s">
        <v>529</v>
      </c>
      <c r="C67" s="220"/>
      <c r="D67" s="219" t="s">
        <v>530</v>
      </c>
      <c r="E67" s="221"/>
      <c r="F67" s="221"/>
      <c r="G67" s="220"/>
      <c r="H67" s="75"/>
      <c r="I67" s="76"/>
    </row>
    <row r="68" spans="1:9" ht="15.75" customHeight="1" x14ac:dyDescent="0.2">
      <c r="A68" s="74" t="s">
        <v>129</v>
      </c>
      <c r="B68" s="240" t="s">
        <v>137</v>
      </c>
      <c r="C68" s="241"/>
      <c r="D68" s="240"/>
      <c r="E68" s="242"/>
      <c r="F68" s="242"/>
      <c r="G68" s="241"/>
      <c r="H68" s="77"/>
      <c r="I68" s="78"/>
    </row>
    <row r="69" spans="1:9" ht="38.25" customHeight="1" x14ac:dyDescent="0.2">
      <c r="A69" s="74" t="s">
        <v>129</v>
      </c>
      <c r="B69" s="219" t="s">
        <v>523</v>
      </c>
      <c r="C69" s="220"/>
      <c r="D69" s="249">
        <v>0.5</v>
      </c>
      <c r="E69" s="250"/>
      <c r="F69" s="250"/>
      <c r="G69" s="251"/>
      <c r="H69" s="75"/>
      <c r="I69" s="76"/>
    </row>
    <row r="70" spans="1:9" ht="63.75" customHeight="1" x14ac:dyDescent="0.2">
      <c r="A70" s="74" t="s">
        <v>129</v>
      </c>
      <c r="B70" s="219" t="s">
        <v>524</v>
      </c>
      <c r="C70" s="220"/>
      <c r="D70" s="249">
        <v>0.1</v>
      </c>
      <c r="E70" s="250"/>
      <c r="F70" s="250"/>
      <c r="G70" s="251"/>
      <c r="H70" s="75"/>
      <c r="I70" s="76"/>
    </row>
    <row r="71" spans="1:9" ht="51" customHeight="1" x14ac:dyDescent="0.2">
      <c r="A71" s="96" t="s">
        <v>129</v>
      </c>
      <c r="B71" s="231" t="s">
        <v>525</v>
      </c>
      <c r="C71" s="232"/>
      <c r="D71" s="233">
        <v>0.4</v>
      </c>
      <c r="E71" s="234"/>
      <c r="F71" s="234"/>
      <c r="G71" s="235"/>
      <c r="H71" s="97"/>
      <c r="I71" s="80"/>
    </row>
    <row r="72" spans="1:9" ht="158.1" customHeight="1" x14ac:dyDescent="0.2">
      <c r="A72" s="90" t="s">
        <v>28</v>
      </c>
      <c r="B72" s="236" t="s">
        <v>531</v>
      </c>
      <c r="C72" s="237"/>
      <c r="D72" s="238" t="s">
        <v>532</v>
      </c>
      <c r="E72" s="189"/>
      <c r="F72" s="189"/>
      <c r="G72" s="239"/>
      <c r="H72" s="81" t="s">
        <v>533</v>
      </c>
      <c r="I72" s="82">
        <f>ROUND(4  * 5 * 1 * 1.3,2)</f>
        <v>26</v>
      </c>
    </row>
    <row r="73" spans="1:9" ht="15.75" customHeight="1" x14ac:dyDescent="0.2">
      <c r="A73" s="71" t="s">
        <v>129</v>
      </c>
      <c r="B73" s="216" t="s">
        <v>130</v>
      </c>
      <c r="C73" s="217"/>
      <c r="D73" s="216"/>
      <c r="E73" s="218"/>
      <c r="F73" s="218"/>
      <c r="G73" s="217"/>
      <c r="H73" s="72"/>
      <c r="I73" s="73"/>
    </row>
    <row r="74" spans="1:9" ht="12.75" customHeight="1" x14ac:dyDescent="0.2">
      <c r="A74" s="74" t="s">
        <v>129</v>
      </c>
      <c r="B74" s="219" t="s">
        <v>176</v>
      </c>
      <c r="C74" s="220"/>
      <c r="D74" s="219" t="s">
        <v>358</v>
      </c>
      <c r="E74" s="221"/>
      <c r="F74" s="221"/>
      <c r="G74" s="220"/>
      <c r="H74" s="75"/>
      <c r="I74" s="76"/>
    </row>
    <row r="75" spans="1:9" ht="38.25" customHeight="1" x14ac:dyDescent="0.2">
      <c r="A75" s="74" t="s">
        <v>129</v>
      </c>
      <c r="B75" s="219" t="s">
        <v>534</v>
      </c>
      <c r="C75" s="220"/>
      <c r="D75" s="219" t="s">
        <v>535</v>
      </c>
      <c r="E75" s="221"/>
      <c r="F75" s="221"/>
      <c r="G75" s="220"/>
      <c r="H75" s="75"/>
      <c r="I75" s="76"/>
    </row>
    <row r="76" spans="1:9" ht="15.75" customHeight="1" x14ac:dyDescent="0.2">
      <c r="A76" s="74" t="s">
        <v>129</v>
      </c>
      <c r="B76" s="240" t="s">
        <v>137</v>
      </c>
      <c r="C76" s="241"/>
      <c r="D76" s="240"/>
      <c r="E76" s="242"/>
      <c r="F76" s="242"/>
      <c r="G76" s="241"/>
      <c r="H76" s="77"/>
      <c r="I76" s="78"/>
    </row>
    <row r="77" spans="1:9" ht="12.75" customHeight="1" x14ac:dyDescent="0.2">
      <c r="A77" s="96" t="s">
        <v>129</v>
      </c>
      <c r="B77" s="231" t="s">
        <v>224</v>
      </c>
      <c r="C77" s="232"/>
      <c r="D77" s="233">
        <v>1</v>
      </c>
      <c r="E77" s="234"/>
      <c r="F77" s="234"/>
      <c r="G77" s="235"/>
      <c r="H77" s="97"/>
      <c r="I77" s="80"/>
    </row>
    <row r="78" spans="1:9" ht="196.35" customHeight="1" x14ac:dyDescent="0.2">
      <c r="A78" s="90" t="s">
        <v>29</v>
      </c>
      <c r="B78" s="236" t="s">
        <v>536</v>
      </c>
      <c r="C78" s="237"/>
      <c r="D78" s="238" t="s">
        <v>537</v>
      </c>
      <c r="E78" s="189"/>
      <c r="F78" s="189"/>
      <c r="G78" s="239"/>
      <c r="H78" s="81" t="s">
        <v>538</v>
      </c>
      <c r="I78" s="82">
        <f>ROUND(18  * 5 * 1,2)</f>
        <v>90</v>
      </c>
    </row>
    <row r="79" spans="1:9" ht="15.75" customHeight="1" x14ac:dyDescent="0.2">
      <c r="A79" s="71" t="s">
        <v>129</v>
      </c>
      <c r="B79" s="216" t="s">
        <v>130</v>
      </c>
      <c r="C79" s="217"/>
      <c r="D79" s="216"/>
      <c r="E79" s="218"/>
      <c r="F79" s="218"/>
      <c r="G79" s="217"/>
      <c r="H79" s="72"/>
      <c r="I79" s="73"/>
    </row>
    <row r="80" spans="1:9" ht="12.75" customHeight="1" x14ac:dyDescent="0.2">
      <c r="A80" s="74" t="s">
        <v>129</v>
      </c>
      <c r="B80" s="219" t="s">
        <v>176</v>
      </c>
      <c r="C80" s="220"/>
      <c r="D80" s="219" t="s">
        <v>358</v>
      </c>
      <c r="E80" s="221"/>
      <c r="F80" s="221"/>
      <c r="G80" s="220"/>
      <c r="H80" s="75"/>
      <c r="I80" s="76"/>
    </row>
    <row r="81" spans="1:9" ht="15.75" customHeight="1" x14ac:dyDescent="0.2">
      <c r="A81" s="74" t="s">
        <v>129</v>
      </c>
      <c r="B81" s="240" t="s">
        <v>137</v>
      </c>
      <c r="C81" s="241"/>
      <c r="D81" s="240"/>
      <c r="E81" s="242"/>
      <c r="F81" s="242"/>
      <c r="G81" s="241"/>
      <c r="H81" s="77"/>
      <c r="I81" s="78"/>
    </row>
    <row r="82" spans="1:9" ht="12.75" customHeight="1" x14ac:dyDescent="0.2">
      <c r="A82" s="96" t="s">
        <v>129</v>
      </c>
      <c r="B82" s="231" t="s">
        <v>224</v>
      </c>
      <c r="C82" s="232"/>
      <c r="D82" s="233">
        <v>1</v>
      </c>
      <c r="E82" s="234"/>
      <c r="F82" s="234"/>
      <c r="G82" s="235"/>
      <c r="H82" s="97"/>
      <c r="I82" s="80"/>
    </row>
    <row r="83" spans="1:9" ht="183.6" customHeight="1" x14ac:dyDescent="0.2">
      <c r="A83" s="206" t="s">
        <v>30</v>
      </c>
      <c r="B83" s="236" t="s">
        <v>539</v>
      </c>
      <c r="C83" s="237"/>
      <c r="D83" s="238" t="s">
        <v>540</v>
      </c>
      <c r="E83" s="189"/>
      <c r="F83" s="189"/>
      <c r="G83" s="239"/>
      <c r="H83" s="202" t="s">
        <v>541</v>
      </c>
      <c r="I83" s="205">
        <f>ROUND(160  * 5 * 1,2)</f>
        <v>800</v>
      </c>
    </row>
    <row r="84" spans="1:9" ht="12.75" customHeight="1" x14ac:dyDescent="0.2">
      <c r="A84" s="206"/>
      <c r="B84" s="236"/>
      <c r="C84" s="237"/>
      <c r="D84" s="238"/>
      <c r="E84" s="189"/>
      <c r="F84" s="189"/>
      <c r="G84" s="239"/>
      <c r="H84" s="202"/>
      <c r="I84" s="205"/>
    </row>
    <row r="85" spans="1:9" ht="15.75" customHeight="1" x14ac:dyDescent="0.2">
      <c r="A85" s="71" t="s">
        <v>129</v>
      </c>
      <c r="B85" s="216" t="s">
        <v>130</v>
      </c>
      <c r="C85" s="217"/>
      <c r="D85" s="216"/>
      <c r="E85" s="218"/>
      <c r="F85" s="218"/>
      <c r="G85" s="217"/>
      <c r="H85" s="72"/>
      <c r="I85" s="73"/>
    </row>
    <row r="86" spans="1:9" ht="12.75" customHeight="1" x14ac:dyDescent="0.2">
      <c r="A86" s="74" t="s">
        <v>129</v>
      </c>
      <c r="B86" s="219" t="s">
        <v>176</v>
      </c>
      <c r="C86" s="220"/>
      <c r="D86" s="219" t="s">
        <v>358</v>
      </c>
      <c r="E86" s="221"/>
      <c r="F86" s="221"/>
      <c r="G86" s="220"/>
      <c r="H86" s="75"/>
      <c r="I86" s="76"/>
    </row>
    <row r="87" spans="1:9" ht="15.75" customHeight="1" x14ac:dyDescent="0.2">
      <c r="A87" s="74" t="s">
        <v>129</v>
      </c>
      <c r="B87" s="240" t="s">
        <v>137</v>
      </c>
      <c r="C87" s="241"/>
      <c r="D87" s="240"/>
      <c r="E87" s="242"/>
      <c r="F87" s="242"/>
      <c r="G87" s="241"/>
      <c r="H87" s="77"/>
      <c r="I87" s="78"/>
    </row>
    <row r="88" spans="1:9" ht="12.75" customHeight="1" x14ac:dyDescent="0.2">
      <c r="A88" s="96" t="s">
        <v>129</v>
      </c>
      <c r="B88" s="231" t="s">
        <v>224</v>
      </c>
      <c r="C88" s="232"/>
      <c r="D88" s="233">
        <v>1</v>
      </c>
      <c r="E88" s="234"/>
      <c r="F88" s="234"/>
      <c r="G88" s="235"/>
      <c r="H88" s="97"/>
      <c r="I88" s="80"/>
    </row>
    <row r="89" spans="1:9" ht="196.35" customHeight="1" x14ac:dyDescent="0.2">
      <c r="A89" s="90" t="s">
        <v>31</v>
      </c>
      <c r="B89" s="236" t="s">
        <v>542</v>
      </c>
      <c r="C89" s="237"/>
      <c r="D89" s="238" t="s">
        <v>543</v>
      </c>
      <c r="E89" s="189"/>
      <c r="F89" s="189"/>
      <c r="G89" s="239"/>
      <c r="H89" s="81" t="s">
        <v>544</v>
      </c>
      <c r="I89" s="82">
        <f>ROUND(31  * 5 * 1,2)</f>
        <v>155</v>
      </c>
    </row>
    <row r="90" spans="1:9" ht="15.75" customHeight="1" x14ac:dyDescent="0.2">
      <c r="A90" s="71" t="s">
        <v>129</v>
      </c>
      <c r="B90" s="216" t="s">
        <v>130</v>
      </c>
      <c r="C90" s="217"/>
      <c r="D90" s="216"/>
      <c r="E90" s="218"/>
      <c r="F90" s="218"/>
      <c r="G90" s="217"/>
      <c r="H90" s="72"/>
      <c r="I90" s="73"/>
    </row>
    <row r="91" spans="1:9" ht="12.75" customHeight="1" x14ac:dyDescent="0.2">
      <c r="A91" s="74" t="s">
        <v>129</v>
      </c>
      <c r="B91" s="219" t="s">
        <v>176</v>
      </c>
      <c r="C91" s="220"/>
      <c r="D91" s="219" t="s">
        <v>358</v>
      </c>
      <c r="E91" s="221"/>
      <c r="F91" s="221"/>
      <c r="G91" s="220"/>
      <c r="H91" s="75"/>
      <c r="I91" s="76"/>
    </row>
    <row r="92" spans="1:9" ht="15.75" customHeight="1" x14ac:dyDescent="0.2">
      <c r="A92" s="74" t="s">
        <v>129</v>
      </c>
      <c r="B92" s="240" t="s">
        <v>137</v>
      </c>
      <c r="C92" s="241"/>
      <c r="D92" s="240"/>
      <c r="E92" s="242"/>
      <c r="F92" s="242"/>
      <c r="G92" s="241"/>
      <c r="H92" s="77"/>
      <c r="I92" s="78"/>
    </row>
    <row r="93" spans="1:9" ht="12.75" customHeight="1" x14ac:dyDescent="0.2">
      <c r="A93" s="96" t="s">
        <v>129</v>
      </c>
      <c r="B93" s="231" t="s">
        <v>224</v>
      </c>
      <c r="C93" s="232"/>
      <c r="D93" s="233">
        <v>1</v>
      </c>
      <c r="E93" s="234"/>
      <c r="F93" s="234"/>
      <c r="G93" s="235"/>
      <c r="H93" s="97"/>
      <c r="I93" s="80"/>
    </row>
    <row r="94" spans="1:9" ht="196.35" customHeight="1" x14ac:dyDescent="0.2">
      <c r="A94" s="90" t="s">
        <v>32</v>
      </c>
      <c r="B94" s="236" t="s">
        <v>545</v>
      </c>
      <c r="C94" s="237"/>
      <c r="D94" s="238" t="s">
        <v>546</v>
      </c>
      <c r="E94" s="189"/>
      <c r="F94" s="189"/>
      <c r="G94" s="239"/>
      <c r="H94" s="81" t="s">
        <v>547</v>
      </c>
      <c r="I94" s="82">
        <f>ROUND(27  * 5 * 1,2)</f>
        <v>135</v>
      </c>
    </row>
    <row r="95" spans="1:9" ht="15.75" customHeight="1" x14ac:dyDescent="0.2">
      <c r="A95" s="71" t="s">
        <v>129</v>
      </c>
      <c r="B95" s="216" t="s">
        <v>130</v>
      </c>
      <c r="C95" s="217"/>
      <c r="D95" s="216"/>
      <c r="E95" s="218"/>
      <c r="F95" s="218"/>
      <c r="G95" s="217"/>
      <c r="H95" s="72"/>
      <c r="I95" s="73"/>
    </row>
    <row r="96" spans="1:9" ht="12.75" customHeight="1" x14ac:dyDescent="0.2">
      <c r="A96" s="74" t="s">
        <v>129</v>
      </c>
      <c r="B96" s="219" t="s">
        <v>176</v>
      </c>
      <c r="C96" s="220"/>
      <c r="D96" s="219" t="s">
        <v>358</v>
      </c>
      <c r="E96" s="221"/>
      <c r="F96" s="221"/>
      <c r="G96" s="220"/>
      <c r="H96" s="75"/>
      <c r="I96" s="76"/>
    </row>
    <row r="97" spans="1:9" ht="15.75" customHeight="1" x14ac:dyDescent="0.2">
      <c r="A97" s="74" t="s">
        <v>129</v>
      </c>
      <c r="B97" s="240" t="s">
        <v>137</v>
      </c>
      <c r="C97" s="241"/>
      <c r="D97" s="240"/>
      <c r="E97" s="242"/>
      <c r="F97" s="242"/>
      <c r="G97" s="241"/>
      <c r="H97" s="77"/>
      <c r="I97" s="78"/>
    </row>
    <row r="98" spans="1:9" ht="12.75" customHeight="1" x14ac:dyDescent="0.2">
      <c r="A98" s="96" t="s">
        <v>129</v>
      </c>
      <c r="B98" s="231" t="s">
        <v>224</v>
      </c>
      <c r="C98" s="232"/>
      <c r="D98" s="233">
        <v>1</v>
      </c>
      <c r="E98" s="234"/>
      <c r="F98" s="234"/>
      <c r="G98" s="235"/>
      <c r="H98" s="97"/>
      <c r="I98" s="80"/>
    </row>
    <row r="99" spans="1:9" ht="196.35" customHeight="1" x14ac:dyDescent="0.2">
      <c r="A99" s="90" t="s">
        <v>33</v>
      </c>
      <c r="B99" s="236" t="s">
        <v>548</v>
      </c>
      <c r="C99" s="237"/>
      <c r="D99" s="238" t="s">
        <v>549</v>
      </c>
      <c r="E99" s="189"/>
      <c r="F99" s="189"/>
      <c r="G99" s="239"/>
      <c r="H99" s="81" t="s">
        <v>550</v>
      </c>
      <c r="I99" s="82">
        <f>ROUND(19  * 5 * 1,2)</f>
        <v>95</v>
      </c>
    </row>
    <row r="100" spans="1:9" ht="15.75" customHeight="1" x14ac:dyDescent="0.2">
      <c r="A100" s="71" t="s">
        <v>129</v>
      </c>
      <c r="B100" s="216" t="s">
        <v>130</v>
      </c>
      <c r="C100" s="217"/>
      <c r="D100" s="216"/>
      <c r="E100" s="218"/>
      <c r="F100" s="218"/>
      <c r="G100" s="217"/>
      <c r="H100" s="72"/>
      <c r="I100" s="73"/>
    </row>
    <row r="101" spans="1:9" ht="12.75" customHeight="1" x14ac:dyDescent="0.2">
      <c r="A101" s="74" t="s">
        <v>129</v>
      </c>
      <c r="B101" s="219" t="s">
        <v>176</v>
      </c>
      <c r="C101" s="220"/>
      <c r="D101" s="219" t="s">
        <v>358</v>
      </c>
      <c r="E101" s="221"/>
      <c r="F101" s="221"/>
      <c r="G101" s="220"/>
      <c r="H101" s="75"/>
      <c r="I101" s="76"/>
    </row>
    <row r="102" spans="1:9" ht="15.75" customHeight="1" x14ac:dyDescent="0.2">
      <c r="A102" s="74" t="s">
        <v>129</v>
      </c>
      <c r="B102" s="240" t="s">
        <v>137</v>
      </c>
      <c r="C102" s="241"/>
      <c r="D102" s="240"/>
      <c r="E102" s="242"/>
      <c r="F102" s="242"/>
      <c r="G102" s="241"/>
      <c r="H102" s="77"/>
      <c r="I102" s="78"/>
    </row>
    <row r="103" spans="1:9" ht="12.75" customHeight="1" x14ac:dyDescent="0.2">
      <c r="A103" s="96" t="s">
        <v>129</v>
      </c>
      <c r="B103" s="231" t="s">
        <v>224</v>
      </c>
      <c r="C103" s="232"/>
      <c r="D103" s="233">
        <v>1</v>
      </c>
      <c r="E103" s="234"/>
      <c r="F103" s="234"/>
      <c r="G103" s="235"/>
      <c r="H103" s="97"/>
      <c r="I103" s="80"/>
    </row>
    <row r="104" spans="1:9" ht="170.85" customHeight="1" x14ac:dyDescent="0.2">
      <c r="A104" s="90" t="s">
        <v>34</v>
      </c>
      <c r="B104" s="236" t="s">
        <v>551</v>
      </c>
      <c r="C104" s="237"/>
      <c r="D104" s="238" t="s">
        <v>552</v>
      </c>
      <c r="E104" s="189"/>
      <c r="F104" s="189"/>
      <c r="G104" s="239"/>
      <c r="H104" s="81" t="s">
        <v>553</v>
      </c>
      <c r="I104" s="82">
        <f>ROUND(7  * 5 * 1,2)</f>
        <v>35</v>
      </c>
    </row>
    <row r="105" spans="1:9" ht="15.75" customHeight="1" x14ac:dyDescent="0.2">
      <c r="A105" s="71" t="s">
        <v>129</v>
      </c>
      <c r="B105" s="216" t="s">
        <v>130</v>
      </c>
      <c r="C105" s="217"/>
      <c r="D105" s="216"/>
      <c r="E105" s="218"/>
      <c r="F105" s="218"/>
      <c r="G105" s="217"/>
      <c r="H105" s="72"/>
      <c r="I105" s="73"/>
    </row>
    <row r="106" spans="1:9" ht="12.75" customHeight="1" x14ac:dyDescent="0.2">
      <c r="A106" s="74" t="s">
        <v>129</v>
      </c>
      <c r="B106" s="219" t="s">
        <v>176</v>
      </c>
      <c r="C106" s="220"/>
      <c r="D106" s="219" t="s">
        <v>358</v>
      </c>
      <c r="E106" s="221"/>
      <c r="F106" s="221"/>
      <c r="G106" s="220"/>
      <c r="H106" s="75"/>
      <c r="I106" s="76"/>
    </row>
    <row r="107" spans="1:9" ht="15.75" customHeight="1" x14ac:dyDescent="0.2">
      <c r="A107" s="74" t="s">
        <v>129</v>
      </c>
      <c r="B107" s="240" t="s">
        <v>137</v>
      </c>
      <c r="C107" s="241"/>
      <c r="D107" s="240"/>
      <c r="E107" s="242"/>
      <c r="F107" s="242"/>
      <c r="G107" s="241"/>
      <c r="H107" s="77"/>
      <c r="I107" s="78"/>
    </row>
    <row r="108" spans="1:9" ht="12.75" customHeight="1" x14ac:dyDescent="0.2">
      <c r="A108" s="96" t="s">
        <v>129</v>
      </c>
      <c r="B108" s="231" t="s">
        <v>224</v>
      </c>
      <c r="C108" s="232"/>
      <c r="D108" s="233">
        <v>1</v>
      </c>
      <c r="E108" s="234"/>
      <c r="F108" s="234"/>
      <c r="G108" s="235"/>
      <c r="H108" s="97"/>
      <c r="I108" s="80"/>
    </row>
    <row r="109" spans="1:9" ht="170.85" customHeight="1" x14ac:dyDescent="0.2">
      <c r="A109" s="90" t="s">
        <v>40</v>
      </c>
      <c r="B109" s="236" t="s">
        <v>554</v>
      </c>
      <c r="C109" s="237"/>
      <c r="D109" s="238" t="s">
        <v>555</v>
      </c>
      <c r="E109" s="189"/>
      <c r="F109" s="189"/>
      <c r="G109" s="239"/>
      <c r="H109" s="81" t="s">
        <v>556</v>
      </c>
      <c r="I109" s="82">
        <f>ROUND(30  * 5 * 1,2)</f>
        <v>150</v>
      </c>
    </row>
    <row r="110" spans="1:9" ht="15.75" customHeight="1" x14ac:dyDescent="0.2">
      <c r="A110" s="71" t="s">
        <v>129</v>
      </c>
      <c r="B110" s="216" t="s">
        <v>130</v>
      </c>
      <c r="C110" s="217"/>
      <c r="D110" s="216"/>
      <c r="E110" s="218"/>
      <c r="F110" s="218"/>
      <c r="G110" s="217"/>
      <c r="H110" s="72"/>
      <c r="I110" s="73"/>
    </row>
    <row r="111" spans="1:9" ht="12.75" customHeight="1" x14ac:dyDescent="0.2">
      <c r="A111" s="74" t="s">
        <v>129</v>
      </c>
      <c r="B111" s="219" t="s">
        <v>176</v>
      </c>
      <c r="C111" s="220"/>
      <c r="D111" s="219" t="s">
        <v>358</v>
      </c>
      <c r="E111" s="221"/>
      <c r="F111" s="221"/>
      <c r="G111" s="220"/>
      <c r="H111" s="75"/>
      <c r="I111" s="76"/>
    </row>
    <row r="112" spans="1:9" ht="15.75" customHeight="1" x14ac:dyDescent="0.2">
      <c r="A112" s="74" t="s">
        <v>129</v>
      </c>
      <c r="B112" s="240" t="s">
        <v>137</v>
      </c>
      <c r="C112" s="241"/>
      <c r="D112" s="240"/>
      <c r="E112" s="242"/>
      <c r="F112" s="242"/>
      <c r="G112" s="241"/>
      <c r="H112" s="77"/>
      <c r="I112" s="78"/>
    </row>
    <row r="113" spans="1:9" ht="12.75" customHeight="1" x14ac:dyDescent="0.2">
      <c r="A113" s="96" t="s">
        <v>129</v>
      </c>
      <c r="B113" s="231" t="s">
        <v>224</v>
      </c>
      <c r="C113" s="232"/>
      <c r="D113" s="233">
        <v>1</v>
      </c>
      <c r="E113" s="234"/>
      <c r="F113" s="234"/>
      <c r="G113" s="235"/>
      <c r="H113" s="97"/>
      <c r="I113" s="80"/>
    </row>
    <row r="114" spans="1:9" ht="170.85" customHeight="1" x14ac:dyDescent="0.2">
      <c r="A114" s="90" t="s">
        <v>44</v>
      </c>
      <c r="B114" s="236" t="s">
        <v>557</v>
      </c>
      <c r="C114" s="237"/>
      <c r="D114" s="238" t="s">
        <v>558</v>
      </c>
      <c r="E114" s="189"/>
      <c r="F114" s="189"/>
      <c r="G114" s="239"/>
      <c r="H114" s="81" t="s">
        <v>559</v>
      </c>
      <c r="I114" s="82">
        <f>ROUND(156  * 5 * 1,2)</f>
        <v>780</v>
      </c>
    </row>
    <row r="115" spans="1:9" ht="15.75" customHeight="1" x14ac:dyDescent="0.2">
      <c r="A115" s="71" t="s">
        <v>129</v>
      </c>
      <c r="B115" s="216" t="s">
        <v>130</v>
      </c>
      <c r="C115" s="217"/>
      <c r="D115" s="216"/>
      <c r="E115" s="218"/>
      <c r="F115" s="218"/>
      <c r="G115" s="217"/>
      <c r="H115" s="72"/>
      <c r="I115" s="73"/>
    </row>
    <row r="116" spans="1:9" ht="12.75" customHeight="1" x14ac:dyDescent="0.2">
      <c r="A116" s="74" t="s">
        <v>129</v>
      </c>
      <c r="B116" s="219" t="s">
        <v>176</v>
      </c>
      <c r="C116" s="220"/>
      <c r="D116" s="219" t="s">
        <v>358</v>
      </c>
      <c r="E116" s="221"/>
      <c r="F116" s="221"/>
      <c r="G116" s="220"/>
      <c r="H116" s="75"/>
      <c r="I116" s="76"/>
    </row>
    <row r="117" spans="1:9" ht="15.75" customHeight="1" x14ac:dyDescent="0.2">
      <c r="A117" s="74" t="s">
        <v>129</v>
      </c>
      <c r="B117" s="240" t="s">
        <v>137</v>
      </c>
      <c r="C117" s="241"/>
      <c r="D117" s="240"/>
      <c r="E117" s="242"/>
      <c r="F117" s="242"/>
      <c r="G117" s="241"/>
      <c r="H117" s="77"/>
      <c r="I117" s="78"/>
    </row>
    <row r="118" spans="1:9" ht="12.75" customHeight="1" x14ac:dyDescent="0.2">
      <c r="A118" s="96" t="s">
        <v>129</v>
      </c>
      <c r="B118" s="231" t="s">
        <v>224</v>
      </c>
      <c r="C118" s="232"/>
      <c r="D118" s="233">
        <v>1</v>
      </c>
      <c r="E118" s="234"/>
      <c r="F118" s="234"/>
      <c r="G118" s="235"/>
      <c r="H118" s="97"/>
      <c r="I118" s="80"/>
    </row>
    <row r="119" spans="1:9" ht="170.85" customHeight="1" x14ac:dyDescent="0.2">
      <c r="A119" s="90" t="s">
        <v>46</v>
      </c>
      <c r="B119" s="236" t="s">
        <v>560</v>
      </c>
      <c r="C119" s="237"/>
      <c r="D119" s="238" t="s">
        <v>561</v>
      </c>
      <c r="E119" s="189"/>
      <c r="F119" s="189"/>
      <c r="G119" s="239"/>
      <c r="H119" s="81" t="s">
        <v>562</v>
      </c>
      <c r="I119" s="82">
        <f>ROUND(370  * 2 * 1,2)</f>
        <v>740</v>
      </c>
    </row>
    <row r="120" spans="1:9" ht="15.75" customHeight="1" x14ac:dyDescent="0.2">
      <c r="A120" s="71" t="s">
        <v>129</v>
      </c>
      <c r="B120" s="216" t="s">
        <v>130</v>
      </c>
      <c r="C120" s="217"/>
      <c r="D120" s="216"/>
      <c r="E120" s="218"/>
      <c r="F120" s="218"/>
      <c r="G120" s="217"/>
      <c r="H120" s="72"/>
      <c r="I120" s="73"/>
    </row>
    <row r="121" spans="1:9" ht="12.75" customHeight="1" x14ac:dyDescent="0.2">
      <c r="A121" s="74" t="s">
        <v>129</v>
      </c>
      <c r="B121" s="219" t="s">
        <v>176</v>
      </c>
      <c r="C121" s="220"/>
      <c r="D121" s="219" t="s">
        <v>358</v>
      </c>
      <c r="E121" s="221"/>
      <c r="F121" s="221"/>
      <c r="G121" s="220"/>
      <c r="H121" s="75"/>
      <c r="I121" s="76"/>
    </row>
    <row r="122" spans="1:9" ht="15.75" customHeight="1" x14ac:dyDescent="0.2">
      <c r="A122" s="74" t="s">
        <v>129</v>
      </c>
      <c r="B122" s="240" t="s">
        <v>137</v>
      </c>
      <c r="C122" s="241"/>
      <c r="D122" s="240"/>
      <c r="E122" s="242"/>
      <c r="F122" s="242"/>
      <c r="G122" s="241"/>
      <c r="H122" s="77"/>
      <c r="I122" s="78"/>
    </row>
    <row r="123" spans="1:9" ht="12.75" customHeight="1" x14ac:dyDescent="0.2">
      <c r="A123" s="96" t="s">
        <v>129</v>
      </c>
      <c r="B123" s="231" t="s">
        <v>224</v>
      </c>
      <c r="C123" s="232"/>
      <c r="D123" s="233">
        <v>1</v>
      </c>
      <c r="E123" s="234"/>
      <c r="F123" s="234"/>
      <c r="G123" s="235"/>
      <c r="H123" s="97"/>
      <c r="I123" s="80"/>
    </row>
    <row r="124" spans="1:9" ht="107.1" customHeight="1" x14ac:dyDescent="0.2">
      <c r="A124" s="90" t="s">
        <v>47</v>
      </c>
      <c r="B124" s="236" t="s">
        <v>563</v>
      </c>
      <c r="C124" s="237"/>
      <c r="D124" s="238" t="s">
        <v>564</v>
      </c>
      <c r="E124" s="189"/>
      <c r="F124" s="189"/>
      <c r="G124" s="239"/>
      <c r="H124" s="81" t="s">
        <v>565</v>
      </c>
      <c r="I124" s="82">
        <f>ROUND(6.6  * 30 * 1,2)</f>
        <v>198</v>
      </c>
    </row>
    <row r="125" spans="1:9" ht="15.75" customHeight="1" x14ac:dyDescent="0.2">
      <c r="A125" s="71" t="s">
        <v>129</v>
      </c>
      <c r="B125" s="216" t="s">
        <v>130</v>
      </c>
      <c r="C125" s="217"/>
      <c r="D125" s="216"/>
      <c r="E125" s="218"/>
      <c r="F125" s="218"/>
      <c r="G125" s="217"/>
      <c r="H125" s="72"/>
      <c r="I125" s="73"/>
    </row>
    <row r="126" spans="1:9" ht="12.75" customHeight="1" x14ac:dyDescent="0.2">
      <c r="A126" s="74" t="s">
        <v>129</v>
      </c>
      <c r="B126" s="219" t="s">
        <v>176</v>
      </c>
      <c r="C126" s="220"/>
      <c r="D126" s="219" t="s">
        <v>358</v>
      </c>
      <c r="E126" s="221"/>
      <c r="F126" s="221"/>
      <c r="G126" s="220"/>
      <c r="H126" s="75"/>
      <c r="I126" s="76"/>
    </row>
    <row r="127" spans="1:9" ht="15.75" customHeight="1" x14ac:dyDescent="0.2">
      <c r="A127" s="74" t="s">
        <v>129</v>
      </c>
      <c r="B127" s="240" t="s">
        <v>137</v>
      </c>
      <c r="C127" s="241"/>
      <c r="D127" s="240"/>
      <c r="E127" s="242"/>
      <c r="F127" s="242"/>
      <c r="G127" s="241"/>
      <c r="H127" s="77"/>
      <c r="I127" s="78"/>
    </row>
    <row r="128" spans="1:9" ht="12.75" customHeight="1" x14ac:dyDescent="0.2">
      <c r="A128" s="96" t="s">
        <v>129</v>
      </c>
      <c r="B128" s="231" t="s">
        <v>224</v>
      </c>
      <c r="C128" s="232"/>
      <c r="D128" s="233">
        <v>1</v>
      </c>
      <c r="E128" s="234"/>
      <c r="F128" s="234"/>
      <c r="G128" s="235"/>
      <c r="H128" s="97"/>
      <c r="I128" s="80"/>
    </row>
    <row r="129" spans="1:9" ht="196.35" customHeight="1" x14ac:dyDescent="0.2">
      <c r="A129" s="206" t="s">
        <v>45</v>
      </c>
      <c r="B129" s="236" t="s">
        <v>566</v>
      </c>
      <c r="C129" s="237"/>
      <c r="D129" s="238" t="s">
        <v>567</v>
      </c>
      <c r="E129" s="189"/>
      <c r="F129" s="189"/>
      <c r="G129" s="239"/>
      <c r="H129" s="202" t="s">
        <v>568</v>
      </c>
      <c r="I129" s="205">
        <f>ROUND(710  * 3 * 1,2)</f>
        <v>2130</v>
      </c>
    </row>
    <row r="130" spans="1:9" ht="12.75" customHeight="1" x14ac:dyDescent="0.2">
      <c r="A130" s="206"/>
      <c r="B130" s="236"/>
      <c r="C130" s="237"/>
      <c r="D130" s="238"/>
      <c r="E130" s="189"/>
      <c r="F130" s="189"/>
      <c r="G130" s="239"/>
      <c r="H130" s="202"/>
      <c r="I130" s="205"/>
    </row>
    <row r="131" spans="1:9" ht="15.75" customHeight="1" x14ac:dyDescent="0.2">
      <c r="A131" s="71" t="s">
        <v>129</v>
      </c>
      <c r="B131" s="216" t="s">
        <v>130</v>
      </c>
      <c r="C131" s="217"/>
      <c r="D131" s="216"/>
      <c r="E131" s="218"/>
      <c r="F131" s="218"/>
      <c r="G131" s="217"/>
      <c r="H131" s="72"/>
      <c r="I131" s="73"/>
    </row>
    <row r="132" spans="1:9" ht="12.75" customHeight="1" x14ac:dyDescent="0.2">
      <c r="A132" s="74" t="s">
        <v>129</v>
      </c>
      <c r="B132" s="219" t="s">
        <v>176</v>
      </c>
      <c r="C132" s="220"/>
      <c r="D132" s="219" t="s">
        <v>358</v>
      </c>
      <c r="E132" s="221"/>
      <c r="F132" s="221"/>
      <c r="G132" s="220"/>
      <c r="H132" s="75"/>
      <c r="I132" s="76"/>
    </row>
    <row r="133" spans="1:9" ht="15.75" customHeight="1" x14ac:dyDescent="0.2">
      <c r="A133" s="74" t="s">
        <v>129</v>
      </c>
      <c r="B133" s="240" t="s">
        <v>137</v>
      </c>
      <c r="C133" s="241"/>
      <c r="D133" s="240"/>
      <c r="E133" s="242"/>
      <c r="F133" s="242"/>
      <c r="G133" s="241"/>
      <c r="H133" s="77"/>
      <c r="I133" s="78"/>
    </row>
    <row r="134" spans="1:9" ht="12.75" customHeight="1" x14ac:dyDescent="0.2">
      <c r="A134" s="96" t="s">
        <v>129</v>
      </c>
      <c r="B134" s="231" t="s">
        <v>224</v>
      </c>
      <c r="C134" s="232"/>
      <c r="D134" s="233">
        <v>1</v>
      </c>
      <c r="E134" s="234"/>
      <c r="F134" s="234"/>
      <c r="G134" s="235"/>
      <c r="H134" s="97"/>
      <c r="I134" s="80"/>
    </row>
    <row r="135" spans="1:9" ht="12.75" customHeight="1" x14ac:dyDescent="0.2">
      <c r="A135" s="96" t="s">
        <v>48</v>
      </c>
      <c r="B135" s="243" t="s">
        <v>213</v>
      </c>
      <c r="C135" s="244"/>
      <c r="D135" s="243"/>
      <c r="E135" s="245"/>
      <c r="F135" s="245"/>
      <c r="G135" s="244"/>
      <c r="H135" s="83"/>
      <c r="I135" s="84">
        <f>ROUND((SUM($I$17:$I$129)),2)</f>
        <v>7802.4</v>
      </c>
    </row>
    <row r="136" spans="1:9" ht="51" customHeight="1" x14ac:dyDescent="0.2">
      <c r="A136" s="65" t="s">
        <v>50</v>
      </c>
      <c r="B136" s="246" t="s">
        <v>483</v>
      </c>
      <c r="C136" s="247"/>
      <c r="D136" s="246" t="s">
        <v>484</v>
      </c>
      <c r="E136" s="248"/>
      <c r="F136" s="248"/>
      <c r="G136" s="247"/>
      <c r="H136" s="68" t="s">
        <v>569</v>
      </c>
      <c r="I136" s="69">
        <f>ROUND(($I$135) * 58.4 * 1,2)</f>
        <v>455660.16</v>
      </c>
    </row>
    <row r="137" spans="1:9" ht="12.75" customHeight="1" x14ac:dyDescent="0.2">
      <c r="A137" s="65" t="s">
        <v>51</v>
      </c>
      <c r="B137" s="228" t="s">
        <v>214</v>
      </c>
      <c r="C137" s="229"/>
      <c r="D137" s="228"/>
      <c r="E137" s="230"/>
      <c r="F137" s="230"/>
      <c r="G137" s="229"/>
      <c r="H137" s="66"/>
      <c r="I137" s="70">
        <f>ROUND(($I$136),2)</f>
        <v>455660.16</v>
      </c>
    </row>
    <row r="138" spans="1:9" ht="12.75" customHeight="1" x14ac:dyDescent="0.2"/>
    <row r="139" spans="1:9" s="93" customFormat="1" ht="24.95" customHeight="1" x14ac:dyDescent="0.25">
      <c r="A139" s="189" t="s">
        <v>215</v>
      </c>
      <c r="B139" s="189"/>
      <c r="C139" s="189"/>
      <c r="D139" s="189"/>
      <c r="E139" s="189"/>
      <c r="F139" s="189"/>
      <c r="G139" s="189"/>
      <c r="H139" s="189"/>
      <c r="I139" s="189"/>
    </row>
    <row r="140" spans="1:9" ht="12.75" customHeight="1" x14ac:dyDescent="0.2">
      <c r="D140" s="95"/>
    </row>
  </sheetData>
  <mergeCells count="264">
    <mergeCell ref="A139:C139"/>
    <mergeCell ref="D139:I139"/>
    <mergeCell ref="B135:C135"/>
    <mergeCell ref="D135:G135"/>
    <mergeCell ref="B136:C136"/>
    <mergeCell ref="D136:G136"/>
    <mergeCell ref="B137:C137"/>
    <mergeCell ref="D137:G137"/>
    <mergeCell ref="B132:C132"/>
    <mergeCell ref="D132:G132"/>
    <mergeCell ref="B133:C133"/>
    <mergeCell ref="D133:G133"/>
    <mergeCell ref="B134:C134"/>
    <mergeCell ref="D134:G134"/>
    <mergeCell ref="A129:A130"/>
    <mergeCell ref="B129:C130"/>
    <mergeCell ref="D129:G130"/>
    <mergeCell ref="H129:H130"/>
    <mergeCell ref="I129:I130"/>
    <mergeCell ref="B131:C131"/>
    <mergeCell ref="D131:G131"/>
    <mergeCell ref="B126:C126"/>
    <mergeCell ref="D126:G126"/>
    <mergeCell ref="B127:C127"/>
    <mergeCell ref="D127:G127"/>
    <mergeCell ref="B128:C128"/>
    <mergeCell ref="D128:G128"/>
    <mergeCell ref="B123:C123"/>
    <mergeCell ref="D123:G123"/>
    <mergeCell ref="B124:C124"/>
    <mergeCell ref="D124:G124"/>
    <mergeCell ref="B125:C125"/>
    <mergeCell ref="D125:G125"/>
    <mergeCell ref="B120:C120"/>
    <mergeCell ref="D120:G120"/>
    <mergeCell ref="B121:C121"/>
    <mergeCell ref="D121:G121"/>
    <mergeCell ref="B122:C122"/>
    <mergeCell ref="D122:G122"/>
    <mergeCell ref="B117:C117"/>
    <mergeCell ref="D117:G117"/>
    <mergeCell ref="B118:C118"/>
    <mergeCell ref="D118:G118"/>
    <mergeCell ref="B119:C119"/>
    <mergeCell ref="D119:G119"/>
    <mergeCell ref="B114:C114"/>
    <mergeCell ref="D114:G114"/>
    <mergeCell ref="B115:C115"/>
    <mergeCell ref="D115:G115"/>
    <mergeCell ref="B116:C116"/>
    <mergeCell ref="D116:G116"/>
    <mergeCell ref="B111:C111"/>
    <mergeCell ref="D111:G111"/>
    <mergeCell ref="B112:C112"/>
    <mergeCell ref="D112:G112"/>
    <mergeCell ref="B113:C113"/>
    <mergeCell ref="D113:G113"/>
    <mergeCell ref="B108:C108"/>
    <mergeCell ref="D108:G108"/>
    <mergeCell ref="B109:C109"/>
    <mergeCell ref="D109:G109"/>
    <mergeCell ref="B110:C110"/>
    <mergeCell ref="D110:G110"/>
    <mergeCell ref="B105:C105"/>
    <mergeCell ref="D105:G105"/>
    <mergeCell ref="B106:C106"/>
    <mergeCell ref="D106:G106"/>
    <mergeCell ref="B107:C107"/>
    <mergeCell ref="D107:G107"/>
    <mergeCell ref="B102:C102"/>
    <mergeCell ref="D102:G102"/>
    <mergeCell ref="B103:C103"/>
    <mergeCell ref="D103:G103"/>
    <mergeCell ref="B104:C104"/>
    <mergeCell ref="D104:G104"/>
    <mergeCell ref="B99:C99"/>
    <mergeCell ref="D99:G99"/>
    <mergeCell ref="B100:C100"/>
    <mergeCell ref="D100:G100"/>
    <mergeCell ref="B101:C101"/>
    <mergeCell ref="D101:G101"/>
    <mergeCell ref="B96:C96"/>
    <mergeCell ref="D96:G96"/>
    <mergeCell ref="B97:C97"/>
    <mergeCell ref="D97:G97"/>
    <mergeCell ref="B98:C98"/>
    <mergeCell ref="D98:G98"/>
    <mergeCell ref="B93:C93"/>
    <mergeCell ref="D93:G93"/>
    <mergeCell ref="B94:C94"/>
    <mergeCell ref="D94:G94"/>
    <mergeCell ref="B95:C95"/>
    <mergeCell ref="D95:G95"/>
    <mergeCell ref="B90:C90"/>
    <mergeCell ref="D90:G90"/>
    <mergeCell ref="B91:C91"/>
    <mergeCell ref="D91:G91"/>
    <mergeCell ref="B92:C92"/>
    <mergeCell ref="D92:G92"/>
    <mergeCell ref="B87:C87"/>
    <mergeCell ref="D87:G87"/>
    <mergeCell ref="B88:C88"/>
    <mergeCell ref="D88:G88"/>
    <mergeCell ref="B89:C89"/>
    <mergeCell ref="D89:G89"/>
    <mergeCell ref="H83:H84"/>
    <mergeCell ref="I83:I84"/>
    <mergeCell ref="B85:C85"/>
    <mergeCell ref="D85:G85"/>
    <mergeCell ref="B86:C86"/>
    <mergeCell ref="D86:G86"/>
    <mergeCell ref="B81:C81"/>
    <mergeCell ref="D81:G81"/>
    <mergeCell ref="B82:C82"/>
    <mergeCell ref="D82:G82"/>
    <mergeCell ref="A83:A84"/>
    <mergeCell ref="B83:C84"/>
    <mergeCell ref="D83:G84"/>
    <mergeCell ref="B78:C78"/>
    <mergeCell ref="D78:G78"/>
    <mergeCell ref="B79:C79"/>
    <mergeCell ref="D79:G79"/>
    <mergeCell ref="B80:C80"/>
    <mergeCell ref="D80:G80"/>
    <mergeCell ref="B75:C75"/>
    <mergeCell ref="D75:G75"/>
    <mergeCell ref="B76:C76"/>
    <mergeCell ref="D76:G76"/>
    <mergeCell ref="B77:C77"/>
    <mergeCell ref="D77:G77"/>
    <mergeCell ref="B72:C72"/>
    <mergeCell ref="D72:G72"/>
    <mergeCell ref="B73:C73"/>
    <mergeCell ref="D73:G73"/>
    <mergeCell ref="B74:C74"/>
    <mergeCell ref="D74:G74"/>
    <mergeCell ref="B69:C69"/>
    <mergeCell ref="D69:G69"/>
    <mergeCell ref="B70:C70"/>
    <mergeCell ref="D70:G70"/>
    <mergeCell ref="B71:C71"/>
    <mergeCell ref="D71:G71"/>
    <mergeCell ref="B66:C66"/>
    <mergeCell ref="D66:G66"/>
    <mergeCell ref="B67:C67"/>
    <mergeCell ref="D67:G67"/>
    <mergeCell ref="B68:C68"/>
    <mergeCell ref="D68:G68"/>
    <mergeCell ref="B63:C63"/>
    <mergeCell ref="D63:G63"/>
    <mergeCell ref="B64:C64"/>
    <mergeCell ref="D64:G64"/>
    <mergeCell ref="B65:C65"/>
    <mergeCell ref="D65:G65"/>
    <mergeCell ref="B60:C60"/>
    <mergeCell ref="D60:G60"/>
    <mergeCell ref="B61:C61"/>
    <mergeCell ref="D61:G61"/>
    <mergeCell ref="B62:C62"/>
    <mergeCell ref="D62:G62"/>
    <mergeCell ref="B57:C57"/>
    <mergeCell ref="D57:G57"/>
    <mergeCell ref="B58:C58"/>
    <mergeCell ref="D58:G58"/>
    <mergeCell ref="B59:C59"/>
    <mergeCell ref="D59:G59"/>
    <mergeCell ref="A54:A55"/>
    <mergeCell ref="B54:C55"/>
    <mergeCell ref="D54:G55"/>
    <mergeCell ref="H54:H55"/>
    <mergeCell ref="I54:I55"/>
    <mergeCell ref="B56:C56"/>
    <mergeCell ref="D56:G56"/>
    <mergeCell ref="B51:C51"/>
    <mergeCell ref="D51:G51"/>
    <mergeCell ref="B52:C52"/>
    <mergeCell ref="D52:G52"/>
    <mergeCell ref="B53:C53"/>
    <mergeCell ref="D53:G53"/>
    <mergeCell ref="B48:C48"/>
    <mergeCell ref="D48:G48"/>
    <mergeCell ref="B49:C49"/>
    <mergeCell ref="D49:G49"/>
    <mergeCell ref="B50:C50"/>
    <mergeCell ref="D50:G50"/>
    <mergeCell ref="B45:C45"/>
    <mergeCell ref="D45:G45"/>
    <mergeCell ref="B46:C46"/>
    <mergeCell ref="D46:G46"/>
    <mergeCell ref="B47:C47"/>
    <mergeCell ref="D47:G47"/>
    <mergeCell ref="B42:C42"/>
    <mergeCell ref="D42:G42"/>
    <mergeCell ref="B43:C43"/>
    <mergeCell ref="D43:G43"/>
    <mergeCell ref="B44:C44"/>
    <mergeCell ref="D44:G44"/>
    <mergeCell ref="B39:C39"/>
    <mergeCell ref="D39:G39"/>
    <mergeCell ref="B40:C40"/>
    <mergeCell ref="D40:G40"/>
    <mergeCell ref="B41:C41"/>
    <mergeCell ref="D41:G41"/>
    <mergeCell ref="B36:C36"/>
    <mergeCell ref="D36:G36"/>
    <mergeCell ref="B37:C37"/>
    <mergeCell ref="D37:G37"/>
    <mergeCell ref="B38:C38"/>
    <mergeCell ref="D38:G38"/>
    <mergeCell ref="B33:C33"/>
    <mergeCell ref="D33:G33"/>
    <mergeCell ref="B34:C34"/>
    <mergeCell ref="D34:G34"/>
    <mergeCell ref="B35:C35"/>
    <mergeCell ref="D35:G35"/>
    <mergeCell ref="B30:C30"/>
    <mergeCell ref="D30:G30"/>
    <mergeCell ref="B31:C31"/>
    <mergeCell ref="D31:G31"/>
    <mergeCell ref="B32:C32"/>
    <mergeCell ref="D32:G32"/>
    <mergeCell ref="B27:C27"/>
    <mergeCell ref="D27:G27"/>
    <mergeCell ref="B28:C28"/>
    <mergeCell ref="D28:G28"/>
    <mergeCell ref="B29:C29"/>
    <mergeCell ref="D29:G29"/>
    <mergeCell ref="B24:C24"/>
    <mergeCell ref="D24:G24"/>
    <mergeCell ref="B25:C25"/>
    <mergeCell ref="D25:G25"/>
    <mergeCell ref="B26:C26"/>
    <mergeCell ref="D26:G26"/>
    <mergeCell ref="B21:C21"/>
    <mergeCell ref="D21:G21"/>
    <mergeCell ref="B22:C22"/>
    <mergeCell ref="D22:G22"/>
    <mergeCell ref="B23:C23"/>
    <mergeCell ref="D23:G23"/>
    <mergeCell ref="B18:C18"/>
    <mergeCell ref="D18:G18"/>
    <mergeCell ref="B19:C19"/>
    <mergeCell ref="D19:G19"/>
    <mergeCell ref="B20:C20"/>
    <mergeCell ref="D20:G20"/>
    <mergeCell ref="A14:I14"/>
    <mergeCell ref="B15:C15"/>
    <mergeCell ref="D15:G15"/>
    <mergeCell ref="B16:C16"/>
    <mergeCell ref="D16:G16"/>
    <mergeCell ref="B17:C17"/>
    <mergeCell ref="D17:G17"/>
    <mergeCell ref="A8:C8"/>
    <mergeCell ref="D8:I8"/>
    <mergeCell ref="A10:C10"/>
    <mergeCell ref="D10:I10"/>
    <mergeCell ref="A12:C12"/>
    <mergeCell ref="D12:I12"/>
    <mergeCell ref="A1:C1"/>
    <mergeCell ref="D1:I1"/>
    <mergeCell ref="A3:I3"/>
    <mergeCell ref="A4:I4"/>
    <mergeCell ref="A6:C6"/>
    <mergeCell ref="D6:I6"/>
  </mergeCells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A2534-4E05-4046-8F3B-156BEB9310C1}">
  <dimension ref="A1:G47"/>
  <sheetViews>
    <sheetView topLeftCell="A40" workbookViewId="0">
      <selection activeCell="C47" sqref="C47:G47"/>
    </sheetView>
  </sheetViews>
  <sheetFormatPr defaultColWidth="11.5703125" defaultRowHeight="12.75" x14ac:dyDescent="0.2"/>
  <cols>
    <col min="1" max="1" width="3.7109375" style="107" customWidth="1"/>
    <col min="2" max="2" width="26.7109375" style="107" customWidth="1"/>
    <col min="3" max="3" width="7.7109375" style="107" customWidth="1"/>
    <col min="4" max="4" width="5" style="107" customWidth="1"/>
    <col min="5" max="5" width="27.7109375" style="107" customWidth="1"/>
    <col min="6" max="6" width="14.42578125" style="107" customWidth="1"/>
    <col min="7" max="7" width="11.5703125" style="107"/>
    <col min="8" max="16384" width="11.5703125" style="58"/>
  </cols>
  <sheetData>
    <row r="1" spans="1:7" ht="51.2" customHeight="1" x14ac:dyDescent="0.2">
      <c r="A1" s="190" t="s">
        <v>99</v>
      </c>
      <c r="B1" s="190"/>
      <c r="C1" s="192" t="s">
        <v>911</v>
      </c>
      <c r="D1" s="192"/>
      <c r="E1" s="192"/>
      <c r="F1" s="192"/>
      <c r="G1" s="192"/>
    </row>
    <row r="2" spans="1:7" x14ac:dyDescent="0.2">
      <c r="A2" s="59"/>
      <c r="B2" s="59"/>
      <c r="C2" s="60"/>
      <c r="D2" s="60"/>
      <c r="E2" s="60"/>
      <c r="F2" s="60"/>
      <c r="G2" s="60"/>
    </row>
    <row r="3" spans="1:7" x14ac:dyDescent="0.2">
      <c r="A3" s="59"/>
      <c r="B3" s="59"/>
      <c r="C3" s="60"/>
      <c r="D3" s="60"/>
      <c r="E3" s="60"/>
      <c r="F3" s="60"/>
      <c r="G3" s="60"/>
    </row>
    <row r="4" spans="1:7" x14ac:dyDescent="0.2">
      <c r="B4" s="193" t="s">
        <v>486</v>
      </c>
      <c r="C4" s="193"/>
      <c r="D4" s="193"/>
      <c r="E4" s="193"/>
      <c r="F4" s="193"/>
    </row>
    <row r="5" spans="1:7" x14ac:dyDescent="0.2">
      <c r="B5" s="194" t="s">
        <v>351</v>
      </c>
      <c r="C5" s="194"/>
      <c r="D5" s="194"/>
      <c r="E5" s="194"/>
      <c r="F5" s="194"/>
    </row>
    <row r="6" spans="1:7" x14ac:dyDescent="0.2">
      <c r="B6" s="61"/>
      <c r="C6" s="61"/>
      <c r="D6" s="61"/>
      <c r="E6" s="61"/>
      <c r="F6" s="61"/>
    </row>
    <row r="7" spans="1:7" ht="51" customHeight="1" x14ac:dyDescent="0.2">
      <c r="A7" s="189" t="s">
        <v>102</v>
      </c>
      <c r="B7" s="189"/>
      <c r="C7" s="189"/>
      <c r="D7" s="195" t="s">
        <v>87</v>
      </c>
      <c r="E7" s="195"/>
      <c r="F7" s="195"/>
      <c r="G7" s="195"/>
    </row>
    <row r="8" spans="1:7" x14ac:dyDescent="0.2">
      <c r="C8" s="62"/>
      <c r="D8" s="62"/>
      <c r="E8" s="62"/>
    </row>
    <row r="9" spans="1:7" ht="12.75" customHeight="1" x14ac:dyDescent="0.2">
      <c r="A9" s="189" t="s">
        <v>308</v>
      </c>
      <c r="B9" s="189"/>
      <c r="C9" s="189"/>
      <c r="D9" s="196" t="s">
        <v>70</v>
      </c>
      <c r="E9" s="196"/>
      <c r="F9" s="196"/>
      <c r="G9" s="196"/>
    </row>
    <row r="10" spans="1:7" x14ac:dyDescent="0.2">
      <c r="A10" s="63"/>
      <c r="B10" s="63"/>
      <c r="C10" s="94"/>
      <c r="D10" s="64"/>
      <c r="E10" s="64"/>
      <c r="F10" s="64"/>
      <c r="G10" s="64"/>
    </row>
    <row r="11" spans="1:7" x14ac:dyDescent="0.2">
      <c r="A11" s="189" t="s">
        <v>309</v>
      </c>
      <c r="B11" s="189"/>
      <c r="C11" s="189"/>
      <c r="D11" s="196"/>
      <c r="E11" s="196"/>
      <c r="F11" s="196"/>
      <c r="G11" s="196"/>
    </row>
    <row r="12" spans="1:7" x14ac:dyDescent="0.2">
      <c r="D12" s="196"/>
      <c r="E12" s="196"/>
      <c r="F12" s="196"/>
      <c r="G12" s="196"/>
    </row>
    <row r="13" spans="1:7" ht="13.5" customHeight="1" x14ac:dyDescent="0.2">
      <c r="A13" s="189" t="s">
        <v>310</v>
      </c>
      <c r="B13" s="189"/>
      <c r="C13" s="189"/>
      <c r="D13" s="196"/>
      <c r="E13" s="196"/>
      <c r="F13" s="196"/>
      <c r="G13" s="196"/>
    </row>
    <row r="14" spans="1:7" ht="12" customHeight="1" x14ac:dyDescent="0.2">
      <c r="A14" s="94"/>
      <c r="B14" s="94"/>
      <c r="D14" s="196"/>
      <c r="E14" s="196"/>
      <c r="F14" s="196"/>
      <c r="G14" s="196"/>
    </row>
    <row r="15" spans="1:7" ht="25.5" customHeight="1" x14ac:dyDescent="0.2">
      <c r="A15" s="189" t="s">
        <v>353</v>
      </c>
      <c r="B15" s="210"/>
      <c r="C15" s="210"/>
      <c r="D15" s="210"/>
      <c r="E15" s="210"/>
      <c r="F15" s="210"/>
      <c r="G15" s="210"/>
    </row>
    <row r="16" spans="1:7" ht="12.75" customHeight="1" x14ac:dyDescent="0.2">
      <c r="A16" s="95"/>
      <c r="B16" s="93"/>
      <c r="C16" s="93"/>
      <c r="D16" s="93"/>
      <c r="E16" s="93"/>
      <c r="F16" s="93"/>
      <c r="G16" s="93"/>
    </row>
    <row r="17" spans="1:7" ht="12.75" customHeight="1" x14ac:dyDescent="0.2">
      <c r="A17" s="198" t="s">
        <v>218</v>
      </c>
      <c r="B17" s="198"/>
      <c r="C17" s="198"/>
      <c r="D17" s="198"/>
      <c r="E17" s="198"/>
      <c r="F17" s="198"/>
      <c r="G17" s="198"/>
    </row>
    <row r="18" spans="1:7" ht="32.25" customHeight="1" x14ac:dyDescent="0.2">
      <c r="A18" s="127" t="s">
        <v>108</v>
      </c>
      <c r="B18" s="127" t="s">
        <v>311</v>
      </c>
      <c r="C18" s="127" t="s">
        <v>312</v>
      </c>
      <c r="D18" s="127" t="s">
        <v>313</v>
      </c>
      <c r="E18" s="127" t="s">
        <v>314</v>
      </c>
      <c r="F18" s="127" t="s">
        <v>315</v>
      </c>
      <c r="G18" s="127" t="s">
        <v>114</v>
      </c>
    </row>
    <row r="19" spans="1:7" x14ac:dyDescent="0.2">
      <c r="A19" s="128">
        <v>1</v>
      </c>
      <c r="B19" s="129">
        <v>2</v>
      </c>
      <c r="C19" s="129">
        <v>3</v>
      </c>
      <c r="D19" s="129">
        <v>4</v>
      </c>
      <c r="E19" s="129">
        <v>5</v>
      </c>
      <c r="F19" s="129">
        <v>6</v>
      </c>
      <c r="G19" s="129">
        <v>7</v>
      </c>
    </row>
    <row r="20" spans="1:7" ht="12.75" customHeight="1" x14ac:dyDescent="0.2">
      <c r="A20" s="65" t="s">
        <v>6</v>
      </c>
      <c r="B20" s="66" t="s">
        <v>115</v>
      </c>
      <c r="C20" s="66"/>
      <c r="D20" s="66"/>
      <c r="E20" s="66" t="s">
        <v>316</v>
      </c>
      <c r="F20" s="66"/>
      <c r="G20" s="67"/>
    </row>
    <row r="21" spans="1:7" ht="178.5" customHeight="1" x14ac:dyDescent="0.2">
      <c r="A21" s="85" t="s">
        <v>117</v>
      </c>
      <c r="B21" s="86" t="s">
        <v>487</v>
      </c>
      <c r="C21" s="87" t="s">
        <v>360</v>
      </c>
      <c r="D21" s="87">
        <v>40</v>
      </c>
      <c r="E21" s="87" t="s">
        <v>488</v>
      </c>
      <c r="F21" s="87" t="s">
        <v>489</v>
      </c>
      <c r="G21" s="88">
        <f>ROUND(70.7  * 40 * 54.75 * 1.3,2)</f>
        <v>201282.9</v>
      </c>
    </row>
    <row r="22" spans="1:7" ht="15.75" customHeight="1" x14ac:dyDescent="0.2">
      <c r="A22" s="71" t="s">
        <v>129</v>
      </c>
      <c r="B22" s="72" t="s">
        <v>130</v>
      </c>
      <c r="C22" s="72"/>
      <c r="D22" s="72"/>
      <c r="E22" s="72"/>
      <c r="F22" s="72"/>
      <c r="G22" s="73"/>
    </row>
    <row r="23" spans="1:7" ht="12.75" customHeight="1" x14ac:dyDescent="0.2">
      <c r="A23" s="74" t="s">
        <v>129</v>
      </c>
      <c r="B23" s="75" t="s">
        <v>321</v>
      </c>
      <c r="C23" s="75"/>
      <c r="D23" s="75"/>
      <c r="E23" s="75"/>
      <c r="F23" s="75"/>
      <c r="G23" s="76"/>
    </row>
    <row r="24" spans="1:7" ht="38.25" customHeight="1" x14ac:dyDescent="0.2">
      <c r="A24" s="74" t="s">
        <v>129</v>
      </c>
      <c r="B24" s="75" t="s">
        <v>490</v>
      </c>
      <c r="C24" s="75"/>
      <c r="D24" s="75"/>
      <c r="E24" s="75" t="s">
        <v>491</v>
      </c>
      <c r="F24" s="75"/>
      <c r="G24" s="76"/>
    </row>
    <row r="25" spans="1:7" ht="127.5" customHeight="1" x14ac:dyDescent="0.2">
      <c r="A25" s="74" t="s">
        <v>129</v>
      </c>
      <c r="B25" s="75" t="s">
        <v>492</v>
      </c>
      <c r="C25" s="75"/>
      <c r="D25" s="75"/>
      <c r="E25" s="75" t="s">
        <v>493</v>
      </c>
      <c r="F25" s="75"/>
      <c r="G25" s="76"/>
    </row>
    <row r="26" spans="1:7" ht="15.75" customHeight="1" x14ac:dyDescent="0.2">
      <c r="A26" s="74" t="s">
        <v>129</v>
      </c>
      <c r="B26" s="77" t="s">
        <v>137</v>
      </c>
      <c r="C26" s="77"/>
      <c r="D26" s="77"/>
      <c r="E26" s="77"/>
      <c r="F26" s="77"/>
      <c r="G26" s="78"/>
    </row>
    <row r="27" spans="1:7" ht="12.75" customHeight="1" x14ac:dyDescent="0.2">
      <c r="A27" s="96" t="s">
        <v>129</v>
      </c>
      <c r="B27" s="97" t="s">
        <v>138</v>
      </c>
      <c r="C27" s="97"/>
      <c r="D27" s="97"/>
      <c r="E27" s="79">
        <v>1</v>
      </c>
      <c r="F27" s="97"/>
      <c r="G27" s="80"/>
    </row>
    <row r="28" spans="1:7" ht="12.75" customHeight="1" x14ac:dyDescent="0.2">
      <c r="A28" s="96" t="s">
        <v>121</v>
      </c>
      <c r="B28" s="83" t="s">
        <v>324</v>
      </c>
      <c r="C28" s="83"/>
      <c r="D28" s="83"/>
      <c r="E28" s="83"/>
      <c r="F28" s="83"/>
      <c r="G28" s="84">
        <f>ROUND(($G$21),2)</f>
        <v>201282.9</v>
      </c>
    </row>
    <row r="29" spans="1:7" ht="12.75" customHeight="1" x14ac:dyDescent="0.2">
      <c r="A29" s="65" t="s">
        <v>123</v>
      </c>
      <c r="B29" s="66" t="s">
        <v>325</v>
      </c>
      <c r="C29" s="66"/>
      <c r="D29" s="66"/>
      <c r="E29" s="66"/>
      <c r="F29" s="66"/>
      <c r="G29" s="70">
        <f>ROUND(($G$28),2)</f>
        <v>201282.9</v>
      </c>
    </row>
    <row r="30" spans="1:7" ht="12.75" customHeight="1" x14ac:dyDescent="0.2">
      <c r="A30" s="65" t="s">
        <v>7</v>
      </c>
      <c r="B30" s="66" t="s">
        <v>115</v>
      </c>
      <c r="C30" s="66"/>
      <c r="D30" s="66"/>
      <c r="E30" s="66" t="s">
        <v>326</v>
      </c>
      <c r="F30" s="66"/>
      <c r="G30" s="67"/>
    </row>
    <row r="31" spans="1:7" ht="25.5" customHeight="1" x14ac:dyDescent="0.2">
      <c r="A31" s="65" t="s">
        <v>125</v>
      </c>
      <c r="B31" s="66" t="s">
        <v>327</v>
      </c>
      <c r="C31" s="66"/>
      <c r="D31" s="66"/>
      <c r="E31" s="66"/>
      <c r="F31" s="66"/>
      <c r="G31" s="70">
        <f>ROUND(0,2)</f>
        <v>0</v>
      </c>
    </row>
    <row r="32" spans="1:7" ht="25.5" customHeight="1" x14ac:dyDescent="0.2">
      <c r="A32" s="65" t="s">
        <v>139</v>
      </c>
      <c r="B32" s="66" t="s">
        <v>328</v>
      </c>
      <c r="C32" s="66"/>
      <c r="D32" s="66"/>
      <c r="E32" s="66"/>
      <c r="F32" s="66"/>
      <c r="G32" s="70">
        <f>ROUND(($G$31),2)</f>
        <v>0</v>
      </c>
    </row>
    <row r="33" spans="1:7" ht="12.75" customHeight="1" x14ac:dyDescent="0.2">
      <c r="A33" s="65" t="s">
        <v>23</v>
      </c>
      <c r="B33" s="66" t="s">
        <v>115</v>
      </c>
      <c r="C33" s="66"/>
      <c r="D33" s="66"/>
      <c r="E33" s="66" t="s">
        <v>329</v>
      </c>
      <c r="F33" s="66"/>
      <c r="G33" s="67"/>
    </row>
    <row r="34" spans="1:7" ht="127.5" customHeight="1" x14ac:dyDescent="0.2">
      <c r="A34" s="85" t="s">
        <v>149</v>
      </c>
      <c r="B34" s="86" t="s">
        <v>400</v>
      </c>
      <c r="C34" s="87" t="s">
        <v>401</v>
      </c>
      <c r="D34" s="87">
        <v>1</v>
      </c>
      <c r="E34" s="87" t="s">
        <v>402</v>
      </c>
      <c r="F34" s="87" t="s">
        <v>494</v>
      </c>
      <c r="G34" s="88">
        <f>ROUND(42269.41  * 1,2)</f>
        <v>42269.41</v>
      </c>
    </row>
    <row r="35" spans="1:7" ht="15.75" customHeight="1" x14ac:dyDescent="0.2">
      <c r="A35" s="71" t="s">
        <v>129</v>
      </c>
      <c r="B35" s="72" t="s">
        <v>130</v>
      </c>
      <c r="C35" s="72"/>
      <c r="D35" s="72"/>
      <c r="E35" s="72"/>
      <c r="F35" s="72"/>
      <c r="G35" s="73"/>
    </row>
    <row r="36" spans="1:7" ht="12.75" customHeight="1" x14ac:dyDescent="0.2">
      <c r="A36" s="74" t="s">
        <v>129</v>
      </c>
      <c r="B36" s="75" t="s">
        <v>321</v>
      </c>
      <c r="C36" s="75"/>
      <c r="D36" s="75"/>
      <c r="E36" s="75"/>
      <c r="F36" s="75"/>
      <c r="G36" s="76"/>
    </row>
    <row r="37" spans="1:7" ht="12.75" customHeight="1" x14ac:dyDescent="0.2">
      <c r="A37" s="96" t="s">
        <v>129</v>
      </c>
      <c r="B37" s="97" t="s">
        <v>176</v>
      </c>
      <c r="C37" s="97"/>
      <c r="D37" s="97"/>
      <c r="E37" s="97" t="s">
        <v>404</v>
      </c>
      <c r="F37" s="97"/>
      <c r="G37" s="80"/>
    </row>
    <row r="38" spans="1:7" ht="25.5" customHeight="1" x14ac:dyDescent="0.2">
      <c r="A38" s="96" t="s">
        <v>160</v>
      </c>
      <c r="B38" s="83" t="s">
        <v>332</v>
      </c>
      <c r="C38" s="83"/>
      <c r="D38" s="83"/>
      <c r="E38" s="83"/>
      <c r="F38" s="83"/>
      <c r="G38" s="84">
        <f>ROUND(($G$34),2)</f>
        <v>42269.41</v>
      </c>
    </row>
    <row r="39" spans="1:7" ht="25.5" customHeight="1" x14ac:dyDescent="0.2">
      <c r="A39" s="65" t="s">
        <v>166</v>
      </c>
      <c r="B39" s="66" t="s">
        <v>335</v>
      </c>
      <c r="C39" s="66"/>
      <c r="D39" s="66"/>
      <c r="E39" s="66"/>
      <c r="F39" s="66"/>
      <c r="G39" s="70">
        <f>ROUND(($G$38),2)</f>
        <v>42269.41</v>
      </c>
    </row>
    <row r="40" spans="1:7" ht="12.75" customHeight="1" x14ac:dyDescent="0.2">
      <c r="A40" s="65" t="s">
        <v>24</v>
      </c>
      <c r="B40" s="66" t="s">
        <v>115</v>
      </c>
      <c r="C40" s="66"/>
      <c r="D40" s="66"/>
      <c r="E40" s="66" t="s">
        <v>336</v>
      </c>
      <c r="F40" s="66"/>
      <c r="G40" s="67"/>
    </row>
    <row r="41" spans="1:7" ht="12.75" customHeight="1" x14ac:dyDescent="0.2">
      <c r="A41" s="65" t="s">
        <v>289</v>
      </c>
      <c r="B41" s="66" t="s">
        <v>343</v>
      </c>
      <c r="C41" s="66"/>
      <c r="D41" s="66"/>
      <c r="E41" s="66"/>
      <c r="F41" s="66"/>
      <c r="G41" s="70">
        <f>ROUND(0,2)</f>
        <v>0</v>
      </c>
    </row>
    <row r="42" spans="1:7" ht="12.75" customHeight="1" x14ac:dyDescent="0.2">
      <c r="A42" s="65" t="s">
        <v>25</v>
      </c>
      <c r="B42" s="66" t="s">
        <v>213</v>
      </c>
      <c r="C42" s="66"/>
      <c r="D42" s="66"/>
      <c r="E42" s="66"/>
      <c r="F42" s="66"/>
      <c r="G42" s="70">
        <f>ROUND(($G$29 + $G$32 +SUM( $G$39:$G$41)),2)</f>
        <v>243552.31</v>
      </c>
    </row>
    <row r="43" spans="1:7" ht="12.75" customHeight="1" x14ac:dyDescent="0.2">
      <c r="A43" s="65" t="s">
        <v>26</v>
      </c>
      <c r="B43" s="66" t="s">
        <v>214</v>
      </c>
      <c r="C43" s="66"/>
      <c r="D43" s="66"/>
      <c r="E43" s="66"/>
      <c r="F43" s="66"/>
      <c r="G43" s="70">
        <f>ROUND(($G$42),2)</f>
        <v>243552.31</v>
      </c>
    </row>
    <row r="44" spans="1:7" ht="12.75" customHeight="1" x14ac:dyDescent="0.2"/>
    <row r="47" spans="1:7" s="93" customFormat="1" ht="24.95" customHeight="1" x14ac:dyDescent="0.25">
      <c r="A47" s="189" t="s">
        <v>215</v>
      </c>
      <c r="B47" s="189"/>
      <c r="C47" s="189"/>
      <c r="D47" s="189"/>
      <c r="E47" s="189"/>
      <c r="F47" s="189"/>
      <c r="G47" s="189"/>
    </row>
  </sheetData>
  <mergeCells count="16">
    <mergeCell ref="A15:G15"/>
    <mergeCell ref="A17:G17"/>
    <mergeCell ref="A47:B47"/>
    <mergeCell ref="C47:G47"/>
    <mergeCell ref="A9:C9"/>
    <mergeCell ref="D9:G9"/>
    <mergeCell ref="A11:C11"/>
    <mergeCell ref="D11:G12"/>
    <mergeCell ref="A13:C13"/>
    <mergeCell ref="D13:G14"/>
    <mergeCell ref="A1:B1"/>
    <mergeCell ref="C1:G1"/>
    <mergeCell ref="B4:F4"/>
    <mergeCell ref="B5:F5"/>
    <mergeCell ref="A7:C7"/>
    <mergeCell ref="D7:G7"/>
  </mergeCells>
  <pageMargins left="0.39374999999999999" right="0.39374999999999999" top="0.59027777777777779" bottom="0.82777777777777783" header="0.51180555555555562" footer="0.59027777777777779"/>
  <pageSetup paperSize="9" scale="9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31</vt:i4>
      </vt:variant>
      <vt:variant>
        <vt:lpstr>Именованные диапазоны</vt:lpstr>
      </vt:variant>
      <vt:variant>
        <vt:i4>29</vt:i4>
      </vt:variant>
    </vt:vector>
  </HeadingPairs>
  <TitlesOfParts>
    <vt:vector size="60" baseType="lpstr">
      <vt:lpstr>РНЦ_Благовещенский корп. (НПД)</vt:lpstr>
      <vt:lpstr>№1_Предвар.</vt:lpstr>
      <vt:lpstr>№2_КНИ</vt:lpstr>
      <vt:lpstr>№3_геодезия</vt:lpstr>
      <vt:lpstr>№4_геология</vt:lpstr>
      <vt:lpstr>№5_гидрометеор.</vt:lpstr>
      <vt:lpstr>№6_археология</vt:lpstr>
      <vt:lpstr>№7_обслед..живоп.</vt:lpstr>
      <vt:lpstr>№8_обслед.грунт.</vt:lpstr>
      <vt:lpstr>№9_коррект.ПО</vt:lpstr>
      <vt:lpstr>№10_ОСОКН(изыск.)</vt:lpstr>
      <vt:lpstr>№11_ОСАОН</vt:lpstr>
      <vt:lpstr>№12_дем.матер.</vt:lpstr>
      <vt:lpstr>№13_ПД(реставрация)</vt:lpstr>
      <vt:lpstr>№14_ПД(приспособл.)</vt:lpstr>
      <vt:lpstr>№15_РД(реставрация)</vt:lpstr>
      <vt:lpstr>№16_РД(приспособл.)</vt:lpstr>
      <vt:lpstr>№17_Техрегл.</vt:lpstr>
      <vt:lpstr>№18_ТОБЭ</vt:lpstr>
      <vt:lpstr>№19_СТУ</vt:lpstr>
      <vt:lpstr>№20_ОСОКН</vt:lpstr>
      <vt:lpstr>№21_ГИКЭ</vt:lpstr>
      <vt:lpstr>№22_ВУЦ</vt:lpstr>
      <vt:lpstr>№23_КР</vt:lpstr>
      <vt:lpstr>Расчет КР</vt:lpstr>
      <vt:lpstr>№24_ИЭИ</vt:lpstr>
      <vt:lpstr>№25_инж.обсл.и обмеры</vt:lpstr>
      <vt:lpstr>№26_ЭП</vt:lpstr>
      <vt:lpstr>№27_Культ.слой</vt:lpstr>
      <vt:lpstr>№28_экспертиза</vt:lpstr>
      <vt:lpstr>Лист1</vt:lpstr>
      <vt:lpstr>№1_Предвар.!Заголовки_для_печати</vt:lpstr>
      <vt:lpstr>'№10_ОСОКН(изыск.)'!Заголовки_для_печати</vt:lpstr>
      <vt:lpstr>№11_ОСАОН!Заголовки_для_печати</vt:lpstr>
      <vt:lpstr>№12_дем.матер.!Заголовки_для_печати</vt:lpstr>
      <vt:lpstr>'№13_ПД(реставрация)'!Заголовки_для_печати</vt:lpstr>
      <vt:lpstr>'№14_ПД(приспособл.)'!Заголовки_для_печати</vt:lpstr>
      <vt:lpstr>'№15_РД(реставрация)'!Заголовки_для_печати</vt:lpstr>
      <vt:lpstr>'№16_РД(приспособл.)'!Заголовки_для_печати</vt:lpstr>
      <vt:lpstr>№17_Техрегл.!Заголовки_для_печати</vt:lpstr>
      <vt:lpstr>№18_ТОБЭ!Заголовки_для_печати</vt:lpstr>
      <vt:lpstr>№19_СТУ!Заголовки_для_печати</vt:lpstr>
      <vt:lpstr>№2_КНИ!Заголовки_для_печати</vt:lpstr>
      <vt:lpstr>№20_ОСОКН!Заголовки_для_печати</vt:lpstr>
      <vt:lpstr>№21_ГИКЭ!Заголовки_для_печати</vt:lpstr>
      <vt:lpstr>№22_ВУЦ!Заголовки_для_печати</vt:lpstr>
      <vt:lpstr>№23_КР!Заголовки_для_печати</vt:lpstr>
      <vt:lpstr>№24_ИЭИ!Заголовки_для_печати</vt:lpstr>
      <vt:lpstr>'№25_инж.обсл.и обмеры'!Заголовки_для_печати</vt:lpstr>
      <vt:lpstr>№26_ЭП!Заголовки_для_печати</vt:lpstr>
      <vt:lpstr>№27_Культ.слой!Заголовки_для_печати</vt:lpstr>
      <vt:lpstr>№3_геодезия!Заголовки_для_печати</vt:lpstr>
      <vt:lpstr>№4_геология!Заголовки_для_печати</vt:lpstr>
      <vt:lpstr>№5_гидрометеор.!Заголовки_для_печати</vt:lpstr>
      <vt:lpstr>№6_археология!Заголовки_для_печати</vt:lpstr>
      <vt:lpstr>№7_обслед..живоп.!Заголовки_для_печати</vt:lpstr>
      <vt:lpstr>№8_обслед.грунт.!Заголовки_для_печати</vt:lpstr>
      <vt:lpstr>№9_коррект.ПО!Заголовки_для_печати</vt:lpstr>
      <vt:lpstr>'РНЦ_Благовещенский корп. (НПД)'!Заголовки_для_печати</vt:lpstr>
      <vt:lpstr>'РНЦ_Благовещенский корп. (НПД)'!Область_печати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Карман Любовь Николаевна</dc:creator>
  <cp:lastModifiedBy>Карман Любовь Николаевна</cp:lastModifiedBy>
  <cp:lastPrinted>2021-10-29T13:31:16Z</cp:lastPrinted>
  <dcterms:created xsi:type="dcterms:W3CDTF">2020-04-06T09:49:31Z</dcterms:created>
  <dcterms:modified xsi:type="dcterms:W3CDTF">2021-12-20T15:02:01Z</dcterms:modified>
</cp:coreProperties>
</file>