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Наталья Стребкова\Desktop\Сметы на проектные работы\РНЦ 6 объектов пересчет\"/>
    </mc:Choice>
  </mc:AlternateContent>
  <xr:revisionPtr revIDLastSave="0" documentId="13_ncr:1_{D0F3F561-C360-49F8-8C6E-9B660A5DF783}" xr6:coauthVersionLast="45" xr6:coauthVersionMax="45" xr10:uidLastSave="{00000000-0000-0000-0000-000000000000}"/>
  <bookViews>
    <workbookView xWindow="-120" yWindow="-120" windowWidth="20700" windowHeight="11160" firstSheet="1" activeTab="7" xr2:uid="{00000000-000D-0000-FFFF-FFFF00000000}"/>
  </bookViews>
  <sheets>
    <sheet name="РНЦ" sheetId="1" r:id="rId1"/>
    <sheet name="Инж геодезия" sheetId="6" r:id="rId2"/>
    <sheet name="Инж геология" sheetId="7" r:id="rId3"/>
    <sheet name="НПД" sheetId="9" r:id="rId4"/>
    <sheet name="П+РД" sheetId="10" r:id="rId5"/>
    <sheet name="ИКЭ" sheetId="11" r:id="rId6"/>
    <sheet name="Сохр ОКН археол" sheetId="12" r:id="rId7"/>
    <sheet name="Сохр ОКН" sheetId="13" r:id="rId8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_xlnm.Print_Area" localSheetId="1">'Инж геодезия'!$A$1:$M$54</definedName>
    <definedName name="_xlnm.Print_Area" localSheetId="2">'Инж геология'!$A$1:$M$87</definedName>
    <definedName name="_xlnm.Print_Area" localSheetId="4">'П+РД'!$A$1:$G$85</definedName>
    <definedName name="тыс">{0,"тысячz";1,"тысячаz";2,"тысячиz";5,"тысячz"}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13" l="1"/>
  <c r="G25" i="13" l="1"/>
  <c r="E23" i="13"/>
  <c r="G23" i="13" s="1"/>
  <c r="D23" i="1" l="1"/>
  <c r="E24" i="13" l="1"/>
  <c r="G24" i="13" s="1"/>
  <c r="E22" i="13"/>
  <c r="G22" i="13" s="1"/>
  <c r="G26" i="13" s="1"/>
  <c r="A21" i="13"/>
  <c r="E22" i="1" l="1"/>
  <c r="F22" i="1" s="1"/>
  <c r="F23" i="1" s="1"/>
  <c r="F21" i="1"/>
  <c r="E21" i="1"/>
  <c r="G20" i="12"/>
  <c r="G21" i="12" s="1"/>
  <c r="G18" i="12"/>
  <c r="G22" i="12" s="1"/>
  <c r="G23" i="12" s="1"/>
  <c r="G24" i="12" s="1"/>
  <c r="G25" i="12" s="1"/>
  <c r="G17" i="12"/>
  <c r="G16" i="12"/>
  <c r="E23" i="1" l="1"/>
  <c r="E77" i="10"/>
  <c r="G77" i="10" s="1"/>
  <c r="G78" i="10" s="1"/>
  <c r="E73" i="10"/>
  <c r="E69" i="10"/>
  <c r="E68" i="10"/>
  <c r="E67" i="10"/>
  <c r="E63" i="10"/>
  <c r="E62" i="10"/>
  <c r="E61" i="10"/>
  <c r="E60" i="10"/>
  <c r="E59" i="10"/>
  <c r="E58" i="10"/>
  <c r="E57" i="10"/>
  <c r="E56" i="10"/>
  <c r="G51" i="10"/>
  <c r="E48" i="10"/>
  <c r="E44" i="10"/>
  <c r="E40" i="10"/>
  <c r="G40" i="10" s="1"/>
  <c r="E39" i="10"/>
  <c r="G39" i="10" s="1"/>
  <c r="E38" i="10"/>
  <c r="G38" i="10" s="1"/>
  <c r="E23" i="10"/>
  <c r="E19" i="10"/>
  <c r="E22" i="11"/>
  <c r="G22" i="11" s="1"/>
  <c r="G21" i="11"/>
  <c r="E21" i="11"/>
  <c r="E20" i="11"/>
  <c r="G20" i="11" s="1"/>
  <c r="A20" i="11"/>
  <c r="G73" i="10"/>
  <c r="G74" i="10" s="1"/>
  <c r="G69" i="10"/>
  <c r="G68" i="10"/>
  <c r="G67" i="10"/>
  <c r="G63" i="10"/>
  <c r="G62" i="10"/>
  <c r="G61" i="10"/>
  <c r="G60" i="10"/>
  <c r="G59" i="10"/>
  <c r="G58" i="10"/>
  <c r="G57" i="10"/>
  <c r="G56" i="10"/>
  <c r="G52" i="10"/>
  <c r="G48" i="10"/>
  <c r="G49" i="10" s="1"/>
  <c r="G44" i="10"/>
  <c r="G45" i="10" s="1"/>
  <c r="A24" i="10"/>
  <c r="A25" i="10" s="1"/>
  <c r="L19" i="10"/>
  <c r="K19" i="10"/>
  <c r="E33" i="10"/>
  <c r="G33" i="10" s="1"/>
  <c r="I16" i="10"/>
  <c r="E114" i="9"/>
  <c r="G114" i="9" s="1"/>
  <c r="E113" i="9"/>
  <c r="G113" i="9" s="1"/>
  <c r="E112" i="9"/>
  <c r="G112" i="9" s="1"/>
  <c r="E109" i="9"/>
  <c r="G109" i="9" s="1"/>
  <c r="E108" i="9"/>
  <c r="G108" i="9" s="1"/>
  <c r="G107" i="9"/>
  <c r="E107" i="9"/>
  <c r="E103" i="9"/>
  <c r="G103" i="9" s="1"/>
  <c r="G102" i="9"/>
  <c r="E102" i="9"/>
  <c r="E99" i="9"/>
  <c r="G99" i="9" s="1"/>
  <c r="G98" i="9"/>
  <c r="E98" i="9"/>
  <c r="E95" i="9"/>
  <c r="G95" i="9" s="1"/>
  <c r="E94" i="9"/>
  <c r="G94" i="9" s="1"/>
  <c r="E93" i="9"/>
  <c r="G93" i="9" s="1"/>
  <c r="G87" i="9"/>
  <c r="E87" i="9"/>
  <c r="E86" i="9"/>
  <c r="G86" i="9" s="1"/>
  <c r="E85" i="9"/>
  <c r="G85" i="9" s="1"/>
  <c r="E82" i="9"/>
  <c r="G82" i="9" s="1"/>
  <c r="E81" i="9"/>
  <c r="G81" i="9" s="1"/>
  <c r="E80" i="9"/>
  <c r="G80" i="9" s="1"/>
  <c r="E79" i="9"/>
  <c r="G79" i="9" s="1"/>
  <c r="E78" i="9"/>
  <c r="G78" i="9" s="1"/>
  <c r="E73" i="9"/>
  <c r="G73" i="9" s="1"/>
  <c r="E72" i="9"/>
  <c r="G72" i="9" s="1"/>
  <c r="E71" i="9"/>
  <c r="G71" i="9" s="1"/>
  <c r="E70" i="9"/>
  <c r="G70" i="9" s="1"/>
  <c r="E67" i="9"/>
  <c r="G67" i="9" s="1"/>
  <c r="E66" i="9"/>
  <c r="G66" i="9" s="1"/>
  <c r="E65" i="9"/>
  <c r="G65" i="9" s="1"/>
  <c r="G64" i="9"/>
  <c r="E64" i="9"/>
  <c r="E61" i="9"/>
  <c r="G61" i="9" s="1"/>
  <c r="E60" i="9"/>
  <c r="G60" i="9" s="1"/>
  <c r="F59" i="9"/>
  <c r="E59" i="9"/>
  <c r="E58" i="9"/>
  <c r="G58" i="9" s="1"/>
  <c r="E57" i="9"/>
  <c r="G57" i="9" s="1"/>
  <c r="F56" i="9"/>
  <c r="E56" i="9"/>
  <c r="E55" i="9"/>
  <c r="G55" i="9" s="1"/>
  <c r="E54" i="9"/>
  <c r="G54" i="9" s="1"/>
  <c r="E51" i="9"/>
  <c r="G51" i="9" s="1"/>
  <c r="G52" i="9" s="1"/>
  <c r="E48" i="9"/>
  <c r="G48" i="9" s="1"/>
  <c r="E47" i="9"/>
  <c r="G47" i="9" s="1"/>
  <c r="E46" i="9"/>
  <c r="G46" i="9" s="1"/>
  <c r="E45" i="9"/>
  <c r="G45" i="9" s="1"/>
  <c r="E42" i="9"/>
  <c r="G42" i="9" s="1"/>
  <c r="E41" i="9"/>
  <c r="G41" i="9" s="1"/>
  <c r="E40" i="9"/>
  <c r="G40" i="9" s="1"/>
  <c r="E39" i="9"/>
  <c r="G39" i="9" s="1"/>
  <c r="E38" i="9"/>
  <c r="G38" i="9" s="1"/>
  <c r="E37" i="9"/>
  <c r="G37" i="9" s="1"/>
  <c r="E32" i="9"/>
  <c r="G32" i="9" s="1"/>
  <c r="E31" i="9"/>
  <c r="G31" i="9" s="1"/>
  <c r="E30" i="9"/>
  <c r="G30" i="9" s="1"/>
  <c r="E29" i="9"/>
  <c r="G29" i="9" s="1"/>
  <c r="E28" i="9"/>
  <c r="G28" i="9" s="1"/>
  <c r="E27" i="9"/>
  <c r="G27" i="9" s="1"/>
  <c r="A27" i="9"/>
  <c r="E26" i="9"/>
  <c r="G26" i="9" s="1"/>
  <c r="K85" i="7"/>
  <c r="K84" i="7"/>
  <c r="K81" i="7"/>
  <c r="M81" i="7" s="1"/>
  <c r="K76" i="7"/>
  <c r="D70" i="7"/>
  <c r="M66" i="7" s="1"/>
  <c r="D65" i="7"/>
  <c r="M62" i="7" s="1"/>
  <c r="M58" i="7"/>
  <c r="K58" i="7"/>
  <c r="D53" i="7"/>
  <c r="D57" i="7" s="1"/>
  <c r="K50" i="7"/>
  <c r="F40" i="7"/>
  <c r="F36" i="7"/>
  <c r="K35" i="7" s="1"/>
  <c r="K33" i="7"/>
  <c r="M33" i="7" s="1"/>
  <c r="K32" i="7"/>
  <c r="M32" i="7" s="1"/>
  <c r="D30" i="7"/>
  <c r="K26" i="7" s="1"/>
  <c r="M26" i="7"/>
  <c r="D25" i="7"/>
  <c r="D75" i="7" s="1"/>
  <c r="F43" i="6"/>
  <c r="F39" i="6"/>
  <c r="K38" i="6" s="1"/>
  <c r="C32" i="6"/>
  <c r="M34" i="6" s="1"/>
  <c r="H37" i="6" s="1"/>
  <c r="M37" i="6" s="1"/>
  <c r="C29" i="6"/>
  <c r="M28" i="6" s="1"/>
  <c r="M20" i="6"/>
  <c r="G100" i="9" l="1"/>
  <c r="G41" i="10"/>
  <c r="K62" i="7"/>
  <c r="M33" i="6"/>
  <c r="M36" i="6" s="1"/>
  <c r="K21" i="7"/>
  <c r="K66" i="7"/>
  <c r="G23" i="11"/>
  <c r="G24" i="11" s="1"/>
  <c r="E20" i="1" s="1"/>
  <c r="F20" i="1" s="1"/>
  <c r="A21" i="11"/>
  <c r="A22" i="11" s="1"/>
  <c r="E28" i="10"/>
  <c r="G28" i="10" s="1"/>
  <c r="E24" i="10"/>
  <c r="G24" i="10" s="1"/>
  <c r="E32" i="10"/>
  <c r="G32" i="10" s="1"/>
  <c r="G56" i="9"/>
  <c r="G74" i="9"/>
  <c r="G110" i="9"/>
  <c r="G115" i="9"/>
  <c r="G68" i="9"/>
  <c r="G59" i="9"/>
  <c r="G64" i="10"/>
  <c r="G70" i="10"/>
  <c r="G23" i="10"/>
  <c r="A26" i="10"/>
  <c r="E27" i="10"/>
  <c r="G27" i="10" s="1"/>
  <c r="E31" i="10"/>
  <c r="G31" i="10" s="1"/>
  <c r="E26" i="10"/>
  <c r="G26" i="10" s="1"/>
  <c r="E30" i="10"/>
  <c r="G30" i="10" s="1"/>
  <c r="E34" i="10"/>
  <c r="G34" i="10" s="1"/>
  <c r="E25" i="10"/>
  <c r="G25" i="10" s="1"/>
  <c r="E29" i="10"/>
  <c r="G29" i="10" s="1"/>
  <c r="G43" i="9"/>
  <c r="G33" i="9"/>
  <c r="G49" i="9"/>
  <c r="G62" i="9"/>
  <c r="G83" i="9"/>
  <c r="G88" i="9"/>
  <c r="G96" i="9"/>
  <c r="G104" i="9"/>
  <c r="A28" i="9"/>
  <c r="M54" i="7"/>
  <c r="K54" i="7"/>
  <c r="M73" i="7"/>
  <c r="K73" i="7"/>
  <c r="M21" i="7"/>
  <c r="M34" i="7" s="1"/>
  <c r="M50" i="7"/>
  <c r="A23" i="11" l="1"/>
  <c r="A24" i="11"/>
  <c r="H42" i="6"/>
  <c r="H38" i="6"/>
  <c r="M38" i="6"/>
  <c r="K42" i="6" s="1"/>
  <c r="H46" i="6"/>
  <c r="M71" i="7"/>
  <c r="H76" i="7" s="1"/>
  <c r="M76" i="7" s="1"/>
  <c r="K79" i="7" s="1"/>
  <c r="G79" i="10"/>
  <c r="G89" i="9"/>
  <c r="A27" i="10"/>
  <c r="G35" i="10"/>
  <c r="G53" i="10" s="1"/>
  <c r="A29" i="9"/>
  <c r="A30" i="9" s="1"/>
  <c r="G116" i="9"/>
  <c r="G105" i="9"/>
  <c r="Z33" i="9"/>
  <c r="Z75" i="9"/>
  <c r="G75" i="9"/>
  <c r="G117" i="9" s="1"/>
  <c r="E18" i="1" s="1"/>
  <c r="H39" i="7"/>
  <c r="M35" i="7"/>
  <c r="H43" i="7"/>
  <c r="H35" i="7"/>
  <c r="H79" i="7"/>
  <c r="M79" i="7"/>
  <c r="M82" i="7" s="1"/>
  <c r="K46" i="6"/>
  <c r="M42" i="6"/>
  <c r="M46" i="6"/>
  <c r="G81" i="10" l="1"/>
  <c r="E19" i="1" s="1"/>
  <c r="F19" i="1" s="1"/>
  <c r="F18" i="1"/>
  <c r="A28" i="10"/>
  <c r="A31" i="9"/>
  <c r="A32" i="9"/>
  <c r="K39" i="7"/>
  <c r="K43" i="7"/>
  <c r="M39" i="7"/>
  <c r="M43" i="7"/>
  <c r="M51" i="6"/>
  <c r="M52" i="6" s="1"/>
  <c r="D16" i="1" s="1"/>
  <c r="F16" i="1" s="1"/>
  <c r="E24" i="1" l="1"/>
  <c r="H48" i="7"/>
  <c r="M48" i="7" s="1"/>
  <c r="M83" i="7" s="1"/>
  <c r="H84" i="7" s="1"/>
  <c r="M85" i="7" s="1"/>
  <c r="D17" i="1" s="1"/>
  <c r="A29" i="10"/>
  <c r="A33" i="9"/>
  <c r="F17" i="1" l="1"/>
  <c r="A30" i="10"/>
  <c r="A37" i="9"/>
  <c r="E25" i="1"/>
  <c r="A31" i="10" l="1"/>
  <c r="A32" i="10" s="1"/>
  <c r="A38" i="9"/>
  <c r="A39" i="9" s="1"/>
  <c r="A40" i="9" s="1"/>
  <c r="F24" i="1"/>
  <c r="F25" i="1" s="1"/>
  <c r="D24" i="1"/>
  <c r="D25" i="1" s="1"/>
  <c r="E12" i="1" l="1"/>
  <c r="A33" i="10"/>
  <c r="A34" i="10" s="1"/>
  <c r="A35" i="10" s="1"/>
  <c r="A41" i="9"/>
  <c r="A42" i="9" s="1"/>
  <c r="A38" i="10" l="1"/>
  <c r="A39" i="10" s="1"/>
  <c r="A40" i="10" s="1"/>
  <c r="A41" i="10" s="1"/>
  <c r="A44" i="10" s="1"/>
  <c r="A43" i="9"/>
  <c r="A45" i="9" s="1"/>
  <c r="A46" i="9" s="1"/>
  <c r="A47" i="9" s="1"/>
  <c r="A48" i="9" s="1"/>
  <c r="A49" i="9" s="1"/>
  <c r="A51" i="9" s="1"/>
  <c r="A52" i="9" s="1"/>
  <c r="A54" i="9" s="1"/>
  <c r="A55" i="9" s="1"/>
  <c r="A56" i="9" s="1"/>
  <c r="A57" i="9" s="1"/>
  <c r="A58" i="9" s="1"/>
  <c r="A59" i="9" s="1"/>
  <c r="A60" i="9" s="1"/>
  <c r="A61" i="9" s="1"/>
  <c r="A62" i="9" s="1"/>
  <c r="A64" i="9" s="1"/>
  <c r="A65" i="9" s="1"/>
  <c r="A66" i="9" s="1"/>
  <c r="A67" i="9" s="1"/>
  <c r="A68" i="9" s="1"/>
  <c r="A70" i="9" s="1"/>
  <c r="A71" i="9" s="1"/>
  <c r="A72" i="9" s="1"/>
  <c r="A73" i="9" s="1"/>
  <c r="A74" i="9" s="1"/>
  <c r="A75" i="9" s="1"/>
  <c r="A78" i="9" s="1"/>
  <c r="A79" i="9" s="1"/>
  <c r="A80" i="9" s="1"/>
  <c r="A81" i="9" s="1"/>
  <c r="A82" i="9" s="1"/>
  <c r="A83" i="9" s="1"/>
  <c r="A85" i="9" s="1"/>
  <c r="A86" i="9" s="1"/>
  <c r="A87" i="9" s="1"/>
  <c r="A88" i="9" s="1"/>
  <c r="A89" i="9" s="1"/>
  <c r="A93" i="9" s="1"/>
  <c r="A94" i="9" s="1"/>
  <c r="A95" i="9" s="1"/>
  <c r="A96" i="9" s="1"/>
  <c r="A98" i="9" s="1"/>
  <c r="A99" i="9" s="1"/>
  <c r="A100" i="9" s="1"/>
  <c r="A102" i="9" s="1"/>
  <c r="A103" i="9" s="1"/>
  <c r="A104" i="9" s="1"/>
  <c r="A105" i="9" s="1"/>
  <c r="A107" i="9" s="1"/>
  <c r="A108" i="9" s="1"/>
  <c r="A109" i="9" s="1"/>
  <c r="A110" i="9" s="1"/>
  <c r="A45" i="10" l="1"/>
  <c r="A48" i="10" s="1"/>
  <c r="A49" i="10" s="1"/>
  <c r="A51" i="10" s="1"/>
  <c r="A52" i="10" s="1"/>
  <c r="A53" i="10" s="1"/>
  <c r="A56" i="10" s="1"/>
  <c r="A113" i="9"/>
  <c r="A112" i="9"/>
  <c r="A114" i="9" s="1"/>
  <c r="A57" i="10" l="1"/>
  <c r="A58" i="10" s="1"/>
  <c r="A59" i="10" s="1"/>
  <c r="A60" i="10" s="1"/>
  <c r="A61" i="10" s="1"/>
  <c r="A62" i="10" s="1"/>
  <c r="A63" i="10" s="1"/>
  <c r="A64" i="10" s="1"/>
  <c r="A67" i="10" s="1"/>
  <c r="A68" i="10" s="1"/>
  <c r="A69" i="10" s="1"/>
  <c r="A70" i="10" s="1"/>
  <c r="A73" i="10" s="1"/>
  <c r="A74" i="10" s="1"/>
  <c r="A77" i="10" s="1"/>
  <c r="A78" i="10" s="1"/>
  <c r="A79" i="10" s="1"/>
  <c r="A81" i="10" s="1"/>
  <c r="A115" i="9"/>
  <c r="A116" i="9" s="1"/>
  <c r="A117" i="9" s="1"/>
</calcChain>
</file>

<file path=xl/sharedStrings.xml><?xml version="1.0" encoding="utf-8"?>
<sst xmlns="http://schemas.openxmlformats.org/spreadsheetml/2006/main" count="799" uniqueCount="540">
  <si>
    <t>"УТВЕРЖДАЮ"</t>
  </si>
  <si>
    <t xml:space="preserve"> Генеральный директор</t>
  </si>
  <si>
    <t xml:space="preserve"> Фонда по сохранению и развитию </t>
  </si>
  <si>
    <t xml:space="preserve"> Соловецкого архипелага</t>
  </si>
  <si>
    <t xml:space="preserve">    __________________ А.В. Ходос</t>
  </si>
  <si>
    <t xml:space="preserve">РАСЧЕТ НАЧАЛЬНОЙ (МАКСИМАЛЬНОЙ) ЦЕНЫ КОНТРАКТА </t>
  </si>
  <si>
    <t>№№ пп</t>
  </si>
  <si>
    <t>Номера смет</t>
  </si>
  <si>
    <t>Наименование работ</t>
  </si>
  <si>
    <r>
      <t xml:space="preserve">    Стоимость работ,  рублей </t>
    </r>
    <r>
      <rPr>
        <i/>
        <sz val="12"/>
        <rFont val="Times New Roman"/>
        <family val="1"/>
        <charset val="204"/>
      </rPr>
      <t xml:space="preserve">                                           </t>
    </r>
    <r>
      <rPr>
        <b/>
        <i/>
        <sz val="12"/>
        <rFont val="Times New Roman"/>
        <family val="1"/>
        <charset val="204"/>
      </rPr>
      <t>в том числе</t>
    </r>
  </si>
  <si>
    <t>изыскательских</t>
  </si>
  <si>
    <t>проектных</t>
  </si>
  <si>
    <t>Всего</t>
  </si>
  <si>
    <t>1</t>
  </si>
  <si>
    <t>2</t>
  </si>
  <si>
    <t>3</t>
  </si>
  <si>
    <t>смета №1</t>
  </si>
  <si>
    <t>Инженерно-геологические изыскания</t>
  </si>
  <si>
    <t>Итого по расчету</t>
  </si>
  <si>
    <t>Непредвиденные работы и затраты - 2%</t>
  </si>
  <si>
    <t>Всего по расчету</t>
  </si>
  <si>
    <t xml:space="preserve">Составил: </t>
  </si>
  <si>
    <t xml:space="preserve">Проверил:  </t>
  </si>
  <si>
    <t xml:space="preserve">Начальник центра сметно-договорной работы </t>
  </si>
  <si>
    <t>Полевые работы</t>
  </si>
  <si>
    <t>Лабораторные работы</t>
  </si>
  <si>
    <t>Камеральные работы</t>
  </si>
  <si>
    <t>№ 
п/п</t>
  </si>
  <si>
    <t>Характеристика объекта, 
здания, сооружения или
 вида работ</t>
  </si>
  <si>
    <t>Ед.
 изм.</t>
  </si>
  <si>
    <t>Обоснование (№№ частей, глав, таблиц, § и пунктов Сборников цен на проектные работы</t>
  </si>
  <si>
    <t>Кол-во</t>
  </si>
  <si>
    <t>Стоимость
в рублях</t>
  </si>
  <si>
    <t>РНиП 4.05.01-93 Методические рекомендации по определению стоимости научно-проектных работ для реставрации недвижимых памятников истории и культуры</t>
  </si>
  <si>
    <t>Раздел I. Предварительные работы</t>
  </si>
  <si>
    <t>пам.</t>
  </si>
  <si>
    <t>Отпечаток</t>
  </si>
  <si>
    <t>РНиП 4.05.01-93 
Раздел 6 Таблица 6.4 
п.5 гр. 5</t>
  </si>
  <si>
    <t>Итого по предварительным исследованиям памятника:</t>
  </si>
  <si>
    <t>Раздел II. Комплексные научные исследования</t>
  </si>
  <si>
    <t>форм. А-4</t>
  </si>
  <si>
    <t>Части и элементы памятника</t>
  </si>
  <si>
    <t>Итого по частям и элементам памятника:</t>
  </si>
  <si>
    <t>1 шурф</t>
  </si>
  <si>
    <t>РНиП 4.05.01-93 
Раздел 1 Таблица 1.11 
п.1 гр. 4</t>
  </si>
  <si>
    <t>РНиП 4.05.01-93 
Раздел 1 Таблица 1.11 
п.2 гр. 4</t>
  </si>
  <si>
    <t>РНиП 4.05.01-93 
Раздел 8 Таблица 10 
п.1 гр. 3</t>
  </si>
  <si>
    <t>п.лист</t>
  </si>
  <si>
    <t>Итого по инженерным исследованиям:</t>
  </si>
  <si>
    <t>Инженерно-геодезические изыскания</t>
  </si>
  <si>
    <t>Итого по разделу II:</t>
  </si>
  <si>
    <t>10 поз.</t>
  </si>
  <si>
    <t>РНиП 4.05.01-93 
Раздел 7 Таблица 7.1 
п.1 гр. 7</t>
  </si>
  <si>
    <t>РНиП 4.05.01-93 
Раздел 7 Таблица 7.1 
п.1 гр. 5</t>
  </si>
  <si>
    <t>Итого по сметной документации:</t>
  </si>
  <si>
    <t>Раздел IV. Рабочая документация</t>
  </si>
  <si>
    <t>Планы, фасады, разрезы</t>
  </si>
  <si>
    <t>Итого по планам, фасадам, разрезам:</t>
  </si>
  <si>
    <t>РНиП 4.05.01-93 
Раздел 1 Таблица 1.15 
п.1 гр. 4</t>
  </si>
  <si>
    <t>Итого по разделу IV:</t>
  </si>
  <si>
    <t>ВСЕГО ПО СМЕТЕ:</t>
  </si>
  <si>
    <t xml:space="preserve">на разработку научно-проектной документации по реставрации и приспособлению к современному использованию объекта культурного наследия федерального значения «Ангар для гидросамолетов», середина 1920-х годов, входящего в состав объекта культурного наследия федерального значения «Ансамбль Соловецкого монастыря и отдельные сооружения островов Соловецкого архипелага, XVI век – первая половина ХХ века» (Архангельская область)
</t>
  </si>
  <si>
    <t>СМЕТА 1</t>
  </si>
  <si>
    <t>на проектные (изыскательские) работы</t>
  </si>
  <si>
    <t>(инженерно-геодезические изыскания)</t>
  </si>
  <si>
    <t>Наименование предприятия, здания, сооружения, стадии проектирования, этапа, вида проектных или изыскательских работ</t>
  </si>
  <si>
    <t>Корректировка ранее разработанной научно-проектной документации для проведения работ по сохранению объекта культурного наследия на разработку научно-проектной документации по реставрации и приспособлению к современному использованию объекта культурного наследия федерального значения «Ангар для гидросамолетов», середина 1920-х годов, входящего в состав объекта культурного наследия федерального значения «Ансамбль Соловецкого монастыря и отдельные сооружения островов Соловецкого архипелага, XVI век – первая половина ХХ века» (Архангельская область)</t>
  </si>
  <si>
    <t>Наименование проектной (изыскательской) организации</t>
  </si>
  <si>
    <t>по результатам конкурса</t>
  </si>
  <si>
    <t>Наименование организации - заказчика</t>
  </si>
  <si>
    <t>Фонд по сохранению и развитию Соловецкого архипелага</t>
  </si>
  <si>
    <t>№№ п/п</t>
  </si>
  <si>
    <t>Характеристика предприятия, здания, сооружения или виды работ</t>
  </si>
  <si>
    <t>№№ частей, глав, таблиц, параграфов и пунктов указаний к разделу или главе Сборника цен на проектные и изыскательские работы для строительства</t>
  </si>
  <si>
    <t>Расчет стоимости: вх, или/объем строительно-монтажных работ/х %100 или кол-во х цена</t>
  </si>
  <si>
    <t>Стоимость (руб.)</t>
  </si>
  <si>
    <t>1.</t>
  </si>
  <si>
    <t>Горизонтальная съёмка</t>
  </si>
  <si>
    <t>Справ. баз. цен-2004 г.</t>
  </si>
  <si>
    <t>*S*0,5*1,55*1,3*1,3</t>
  </si>
  <si>
    <t>застроенной территории</t>
  </si>
  <si>
    <t>(Инжен.геодез.изыскания)</t>
  </si>
  <si>
    <t>*1,4</t>
  </si>
  <si>
    <t>М 1:500</t>
  </si>
  <si>
    <t xml:space="preserve">тб. 9, §1, </t>
  </si>
  <si>
    <t>1 кат. сл.;</t>
  </si>
  <si>
    <t>га</t>
  </si>
  <si>
    <t>к=0,5 прим. п.3,</t>
  </si>
  <si>
    <t>к=1,55 прим. п.4,</t>
  </si>
  <si>
    <t>к=1,3 прим. п.5,</t>
  </si>
  <si>
    <t>к=1,3 тб.2, §2,</t>
  </si>
  <si>
    <t xml:space="preserve">к=1,4 тб.10, §1 </t>
  </si>
  <si>
    <t>2.</t>
  </si>
  <si>
    <t>Теодолит. и нивелир. ходы</t>
  </si>
  <si>
    <t xml:space="preserve">тб. 47, §1,3 </t>
  </si>
  <si>
    <t>(740+233)*</t>
  </si>
  <si>
    <t>L*1,3</t>
  </si>
  <si>
    <t>I кат. гр.</t>
  </si>
  <si>
    <t>км</t>
  </si>
  <si>
    <t>к=1,3  тб.2, §1</t>
  </si>
  <si>
    <t>3.</t>
  </si>
  <si>
    <t>Высотная съёмка застроен.</t>
  </si>
  <si>
    <t>территории М 1:500</t>
  </si>
  <si>
    <t>К=</t>
  </si>
  <si>
    <t>тб.2, §2</t>
  </si>
  <si>
    <t>полевые работы</t>
  </si>
  <si>
    <t>гл.2, п.4</t>
  </si>
  <si>
    <t>*S*1,3*0,4</t>
  </si>
  <si>
    <t>камеральные работы</t>
  </si>
  <si>
    <t>*S*0,55</t>
  </si>
  <si>
    <t>Итого:</t>
  </si>
  <si>
    <t>т.у.п.15</t>
  </si>
  <si>
    <t>х</t>
  </si>
  <si>
    <t>4.</t>
  </si>
  <si>
    <t>Расходы по внутреннему</t>
  </si>
  <si>
    <t>тб. 4, §3</t>
  </si>
  <si>
    <t>транспорту</t>
  </si>
  <si>
    <t xml:space="preserve">от смет. стоим. полевых </t>
  </si>
  <si>
    <t>работ при расст. 10-15 км</t>
  </si>
  <si>
    <t>5.</t>
  </si>
  <si>
    <t>Расходы по внешнему</t>
  </si>
  <si>
    <t>тб. 5, §5</t>
  </si>
  <si>
    <t>+</t>
  </si>
  <si>
    <t>транспорту при расстоянии</t>
  </si>
  <si>
    <t>х0,3640х2</t>
  </si>
  <si>
    <t>св. 1000 до 2000 км</t>
  </si>
  <si>
    <t>в двух направл.</t>
  </si>
  <si>
    <t>в одном напр. до 1 мес.</t>
  </si>
  <si>
    <t>6.</t>
  </si>
  <si>
    <t>Расходы по организации и</t>
  </si>
  <si>
    <t>Общие указания п. 13</t>
  </si>
  <si>
    <t>ликвидации работ</t>
  </si>
  <si>
    <t>х0,06х2,5</t>
  </si>
  <si>
    <t>от сметной стоим. полевых</t>
  </si>
  <si>
    <t>прим.1</t>
  </si>
  <si>
    <t>работ, включая расходы по</t>
  </si>
  <si>
    <t>внутреннему транспорту</t>
  </si>
  <si>
    <t>7.</t>
  </si>
  <si>
    <t>Итого по п.п. 1-6</t>
  </si>
  <si>
    <t>8.</t>
  </si>
  <si>
    <t>Смета №2</t>
  </si>
  <si>
    <t>(инженерно-геологические изыскания)</t>
  </si>
  <si>
    <t>скважин</t>
  </si>
  <si>
    <t>шурфов</t>
  </si>
  <si>
    <t>Раздел 1</t>
  </si>
  <si>
    <t>Колонковое бурение скважин</t>
  </si>
  <si>
    <t>Справ. баз. цен-1999 г.</t>
  </si>
  <si>
    <t>диаметром до 160мм,</t>
  </si>
  <si>
    <t>(Инж.-геолог. изыскан.)</t>
  </si>
  <si>
    <t>глубиной до 15 м</t>
  </si>
  <si>
    <t>тб. 19, §2,  тб.27 §2</t>
  </si>
  <si>
    <t>проходка шурфов вручную.</t>
  </si>
  <si>
    <t>кат. сл. 3</t>
  </si>
  <si>
    <t>п.м.</t>
  </si>
  <si>
    <t xml:space="preserve">Испытания грунтов </t>
  </si>
  <si>
    <t>тб. 54, §2</t>
  </si>
  <si>
    <t>статической нагрузкой</t>
  </si>
  <si>
    <r>
      <t>штампом площ. 5000 см</t>
    </r>
    <r>
      <rPr>
        <sz val="10"/>
        <color indexed="8"/>
        <rFont val="Arial"/>
        <family val="2"/>
        <charset val="204"/>
      </rPr>
      <t>²</t>
    </r>
  </si>
  <si>
    <t>Категория пород</t>
  </si>
  <si>
    <t>Отбор образцов с глуб. до 10м</t>
  </si>
  <si>
    <t>тб. 57</t>
  </si>
  <si>
    <t>из скважин</t>
  </si>
  <si>
    <t>§1</t>
  </si>
  <si>
    <t>из шурфов</t>
  </si>
  <si>
    <t xml:space="preserve">х </t>
  </si>
  <si>
    <t>Итого по п.п. 1-3</t>
  </si>
  <si>
    <t>х0,364х2</t>
  </si>
  <si>
    <t>в двух напр.</t>
  </si>
  <si>
    <t>п. 13</t>
  </si>
  <si>
    <t>прим. П.1</t>
  </si>
  <si>
    <r>
      <t xml:space="preserve">Итого по разделу 1 </t>
    </r>
    <r>
      <rPr>
        <i/>
        <sz val="10"/>
        <color indexed="8"/>
        <rFont val="Calibri"/>
        <family val="2"/>
        <charset val="204"/>
      </rPr>
      <t>с учетом выполнения работ в неблагоприятный период</t>
    </r>
  </si>
  <si>
    <t>к=1,3 общ.указ. п.8г, табл.2 §3</t>
  </si>
  <si>
    <t>Раздел 2</t>
  </si>
  <si>
    <t>Сокращенный комплекс</t>
  </si>
  <si>
    <t>тб. 63, §11</t>
  </si>
  <si>
    <t>физико-механических</t>
  </si>
  <si>
    <t>свойств грунтов (срез)</t>
  </si>
  <si>
    <t>образцов</t>
  </si>
  <si>
    <t>9.</t>
  </si>
  <si>
    <t>тб. 63, §17</t>
  </si>
  <si>
    <t>свойств грунтов (компрессия)</t>
  </si>
  <si>
    <t>пробы</t>
  </si>
  <si>
    <t>10.</t>
  </si>
  <si>
    <t xml:space="preserve">Испытания прочности скальн. </t>
  </si>
  <si>
    <t>тб. 63, §6</t>
  </si>
  <si>
    <t xml:space="preserve">грунтов одноосным сжатием, </t>
  </si>
  <si>
    <t>плотности, влажности.</t>
  </si>
  <si>
    <t>11.</t>
  </si>
  <si>
    <t>Определение коррозионной</t>
  </si>
  <si>
    <t>тб. 75, §4</t>
  </si>
  <si>
    <t>активности грунтов</t>
  </si>
  <si>
    <t>по отношению к стали</t>
  </si>
  <si>
    <t>12.</t>
  </si>
  <si>
    <t>тб. 75, §5</t>
  </si>
  <si>
    <t>активности грунтов и</t>
  </si>
  <si>
    <t>грунтовых вод</t>
  </si>
  <si>
    <t>по отношению к бетону</t>
  </si>
  <si>
    <t>13.</t>
  </si>
  <si>
    <t>Итого по разделу 2:</t>
  </si>
  <si>
    <t>Раздел 3</t>
  </si>
  <si>
    <t>14.</t>
  </si>
  <si>
    <t>Камеральная обработка</t>
  </si>
  <si>
    <t>тб. 82, §1</t>
  </si>
  <si>
    <t>буровых и проходческих работ</t>
  </si>
  <si>
    <t>3 кат. сл.</t>
  </si>
  <si>
    <t>п.м.=</t>
  </si>
  <si>
    <t>15.</t>
  </si>
  <si>
    <t>тб. 86, §1</t>
  </si>
  <si>
    <t>комплексных обследований</t>
  </si>
  <si>
    <t>от ст-ти лабор. работ</t>
  </si>
  <si>
    <t>16.</t>
  </si>
  <si>
    <t>Составление отчета</t>
  </si>
  <si>
    <t>тб. 87, §1</t>
  </si>
  <si>
    <t xml:space="preserve"> </t>
  </si>
  <si>
    <t>х0,21</t>
  </si>
  <si>
    <t>17.</t>
  </si>
  <si>
    <t>Обработка полевых испытаний</t>
  </si>
  <si>
    <t>тб. 83, §6</t>
  </si>
  <si>
    <t>18.</t>
  </si>
  <si>
    <t>Итого по разделу 3:</t>
  </si>
  <si>
    <t>19.</t>
  </si>
  <si>
    <t>Итого по разделам 1-3:</t>
  </si>
  <si>
    <t>20.</t>
  </si>
  <si>
    <t>с учетом повыш. Коэф-та</t>
  </si>
  <si>
    <t>общ.указ, п.8е</t>
  </si>
  <si>
    <t>Смета №3</t>
  </si>
  <si>
    <t>научно-проектная документация</t>
  </si>
  <si>
    <t>Цена</t>
  </si>
  <si>
    <r>
      <t>1</t>
    </r>
    <r>
      <rPr>
        <b/>
        <sz val="11"/>
        <rFont val="Arial"/>
        <family val="2"/>
        <charset val="204"/>
      </rPr>
      <t/>
    </r>
  </si>
  <si>
    <r>
      <t>2</t>
    </r>
    <r>
      <rPr>
        <b/>
        <sz val="11"/>
        <rFont val="Arial"/>
        <family val="2"/>
        <charset val="204"/>
      </rPr>
      <t/>
    </r>
  </si>
  <si>
    <r>
      <t>3</t>
    </r>
    <r>
      <rPr>
        <sz val="7"/>
        <color indexed="8"/>
        <rFont val="Arial"/>
        <family val="2"/>
        <charset val="204"/>
      </rPr>
      <t/>
    </r>
  </si>
  <si>
    <r>
      <t>4</t>
    </r>
    <r>
      <rPr>
        <sz val="7"/>
        <color indexed="8"/>
        <rFont val="Arial"/>
        <family val="2"/>
        <charset val="204"/>
      </rPr>
      <t/>
    </r>
  </si>
  <si>
    <r>
      <t>5</t>
    </r>
    <r>
      <rPr>
        <sz val="7"/>
        <color indexed="8"/>
        <rFont val="Arial"/>
        <family val="2"/>
        <charset val="204"/>
      </rPr>
      <t/>
    </r>
  </si>
  <si>
    <r>
      <t>6</t>
    </r>
    <r>
      <rPr>
        <sz val="7"/>
        <color indexed="8"/>
        <rFont val="Arial"/>
        <family val="2"/>
        <charset val="204"/>
      </rPr>
      <t/>
    </r>
  </si>
  <si>
    <r>
      <t>7</t>
    </r>
    <r>
      <rPr>
        <sz val="7"/>
        <color indexed="8"/>
        <rFont val="Arial"/>
        <family val="2"/>
        <charset val="204"/>
      </rPr>
      <t/>
    </r>
  </si>
  <si>
    <t>СЦНИПР-91, Сборник цен на научно-проекные работы по памятникам истории и культуры</t>
  </si>
  <si>
    <t>Стоимость ч/дня (письмо МК РФ №01-211-16/14 от 13.10.98г.) - 540 руб п. 2; 620 руб п. 3 - при проведении научно-технического руководства, авторского надзора;
п.1 к-14,6 к СЦНИПР-91</t>
  </si>
  <si>
    <t>Индекс изменения сметной стоимости проектных работ  к = 4,00 (Письмо МК РФ от 20.12.2011г. № 107-01-39/10-КЧ)</t>
  </si>
  <si>
    <t>Коэф. на Научно-методическое руководство 1,2 (РНиП 4.5.01.93, общая часть. )</t>
  </si>
  <si>
    <t>Стоимость ч/дня = 540 х 4,00х 1,2= 2592,00</t>
  </si>
  <si>
    <t>Категория сложности - II</t>
  </si>
  <si>
    <t xml:space="preserve">Объем  1315,00 м³ - существующий; 1712 м³ - проектируемый; 
</t>
  </si>
  <si>
    <t xml:space="preserve">Площадь 211,5 м² - существующая,  251,5 м² - проектируемая
</t>
  </si>
  <si>
    <t>1.1. Предварительные исследования памятника</t>
  </si>
  <si>
    <t>Составление актов технического состояния и утрат первоначального облика 
 2592,00*3,4*1,5*0,5</t>
  </si>
  <si>
    <t>РНиП 4.05.01-93 
Раздел 1 Таблица 1.2 
п.3 гр. 5, к=1.5 прим. п. 3,   к=0,5-объем корр.</t>
  </si>
  <si>
    <t>Предварительное инженерное заключение и рекомендации
 2592,00*4,42*1,5*0,5</t>
  </si>
  <si>
    <t xml:space="preserve">РНиП 4.05.01-93 
Раздел 1 Таблица 1.2 
п.3 гр. 6, к=1.5 прим. п. 3,  к=0,5-объем корр.     </t>
  </si>
  <si>
    <t>Предварительные соображения по намечаемым реставрационным работам
2592,00*1,83*1,5*0,5</t>
  </si>
  <si>
    <t>РНиП 4.05.01-93 
Раздел 1 Таблица 1.2 
п.3 гр. 8, к=1.5 прим. п. 3, к=0,5-объем корр.</t>
  </si>
  <si>
    <t>Краткие историко-библиографические сведения
2592,00*2,97*0,1</t>
  </si>
  <si>
    <t xml:space="preserve">РНиП 4.05.01-93 
Раздел 1 Таблица 1.2 
п.8 гр. 7, к=0,1-объем корр.
</t>
  </si>
  <si>
    <t>Программа научно-проектных работ
2592,00*2,36*1,5*0,5</t>
  </si>
  <si>
    <t>РНиП 4.05.01-93 
Раздел 1 Таблица 1.2, п.3 гр. 9, к=1.5 прим. п. 3,  к=0,5-объем корр.</t>
  </si>
  <si>
    <t>Фотофиксация существующего состояния памятника 
2592,00*0,167</t>
  </si>
  <si>
    <t>отп.</t>
  </si>
  <si>
    <t>РНиП 4.05.01-93 
Раздел 6
 Таблица 6.4 
п.5 гр. 5</t>
  </si>
  <si>
    <t xml:space="preserve">Аннотация фотофиксации
14,6*4,00*5,70
</t>
  </si>
  <si>
    <t>10нег.</t>
  </si>
  <si>
    <t>СЦНПР-91,
Раздел 8 п.3</t>
  </si>
  <si>
    <t>2.1. Натурные исследования</t>
  </si>
  <si>
    <t xml:space="preserve">2.1.1. Архитектурно-археологические обмеры     </t>
  </si>
  <si>
    <t>Архитектурно-археологические обмеры памятника в целом. Планы. Полевые работы.
2592,00*(8,22+(10,62-8,22)* (1,315-1)/(2-1))*0,53*0,5</t>
  </si>
  <si>
    <t>РНиП 4.05.01-93 
Раздел 1 Таблица 1.4 
п.3,4 гр. 4; 
к= 1,15 пояс. п.6
к= 0,53 пояс. п.9
к=0,5 объем корр.</t>
  </si>
  <si>
    <t>Архитектурно-археологические обмеры памятника в целом. Планы. Камеральные работы.
2592,00*(8,22+(10,62-8,22)* (1,315-1)/(2-1))*0,47*0,5</t>
  </si>
  <si>
    <t>РНиП 4.05.01-93 
Раздел 1 Таблица 1.4 
п.3,4 гр. 4; 
к= 0,47 пояс. п.9
к=0,5 объем корр.</t>
  </si>
  <si>
    <t>Архитектурно-археологические обмеры памятника в целом. Фасады. Полевые работы.
2592,00*(7,97+(11,98-7,97)* (1,315-1)/(2-1))*0,53*1,3* 1,15*0,5</t>
  </si>
  <si>
    <t xml:space="preserve">РНиП 4.05.01-93 
Раздел 1 Таблица 1.5 
п.3,4 гр. 4; 
к= 1,15 пояс. п.6
к= 0,53 пояс. п.9
к-1,3 прил.4 п.1
к=0,5 - объем корр.
</t>
  </si>
  <si>
    <t>Архитектурно-археологические обмеры памятника в целом. Фасады. Камеральные работы.
2592,00*(7,97+(11,98-7,97)* (1,315-1)/(2-1))*0,47*0,5</t>
  </si>
  <si>
    <t xml:space="preserve">РНиП 4.05.01-93 
Раздел 1 Таблица 1.5 
п.3,4 гр. 4; 
к= 0,47 пояс. п.9
к=0,5 - объем корр.
</t>
  </si>
  <si>
    <t>Архитектурно-археологические обмеры памятника в целом. Разрезы. Полевые работы
2592,00*(3,46+(5,18-3,46)* (1,315-1)/(2-1))*0,53*1,15*1,3*0,5</t>
  </si>
  <si>
    <t>РНиП 4.05.01-93 
Раздел 1 Таблица 1.6 
п.3,4 гр. 4; 
к= 1,15 пояс. п.6
к= 0,53 пояс. п.9
к=1,3 прил.4 п.1</t>
  </si>
  <si>
    <t>Архитектурно-археологические обмеры памятника в целом. Разрезы. Камеральные работы.
2592,00*(3,46+(5,18-3,46)* (1,315-1)/(2-1))*0,47*0,5</t>
  </si>
  <si>
    <t xml:space="preserve">РНиП 4.05.01-93 
Раздел 1 Таблица 1.6 
п.3,4 гр. 4; 
к= 0,47 пояс. п.9
к=0,5 объем корр.
</t>
  </si>
  <si>
    <t>Итого по 2.1.1</t>
  </si>
  <si>
    <t>2.2.2. Обмеры конструкций</t>
  </si>
  <si>
    <t>Общий вид конструкций (полевые)
2592,00*0,47*0,53*1,3*1,15*0,5</t>
  </si>
  <si>
    <t>РНиП 4.05.01-93 
Раздел 1 Таблица 1.7 
п.1 гр. 5; 
к= 1,15 пояс. п.6
к= 0,53 пояс. п.9
к=1,3 прил.4 п.1                                      к=0,5 объем корр.</t>
  </si>
  <si>
    <t>Общий вид конструкций (камеральные)
2592,00*0,47*0,47*0,5</t>
  </si>
  <si>
    <t>РНиП 4.05.01-93 
Раздел 1 Таблица 1.7 
п.1 гр. 6; 
к= 0,47 пояс. п.9
к=0,5 - объем корр.</t>
  </si>
  <si>
    <t>Детали (полевые)
2592,00*0,28*0,53*1,15*1,3*0,5</t>
  </si>
  <si>
    <t>РНиП 4.05.01-93 
Раздел 1 Таблица 1.7 
п.2 гр. 5; 
к= 1,15 пояс. п.6
к= 0,53 пояс. п.9
к=1,3 прил.4 п.1           
к=0,5 - объем корр.</t>
  </si>
  <si>
    <t>Детали (камеральные)
2592,00*0,28*0,47*0,5</t>
  </si>
  <si>
    <t>РНиП 4.05.01-93 
Раздел 1 Таблица 1.7 
п.2 гр. 6; 
к= 0,47 пояс. п.9
к=0,5 - объем корр.</t>
  </si>
  <si>
    <t>Итого по 2.1.2</t>
  </si>
  <si>
    <t>2.1.3.Части и элементы памятника</t>
  </si>
  <si>
    <t>Архитектурно-археологические обмеры фрагментов фасадов
2592,00*1,25*(0,53*1,15*1,3+0,47)*0,5</t>
  </si>
  <si>
    <t>РНиП 4.05.01-93 
Раздел 1 Таблица 1.8 
п.1 гр. 5; 
к= 1,15 пояс. п.6
к= 0,53, 0,47 пояс. п.9
к=1,3 прил.4 п.1           
к=0,5 - объем корр.</t>
  </si>
  <si>
    <t>Итого по 2.1.3.</t>
  </si>
  <si>
    <t>2.1.4.Шурфы</t>
  </si>
  <si>
    <t>Шурфы
2592,00*2,17</t>
  </si>
  <si>
    <t>Фиксация в масштабе 1:10 по шурфу с составлением акта исследования
2592,00*0,9</t>
  </si>
  <si>
    <t>форм.     А-4</t>
  </si>
  <si>
    <t>Компьютерная обработка  - Шурфы
2592,00*2,4</t>
  </si>
  <si>
    <t>Фотофиксация шурфов
 2592,00* 0,167</t>
  </si>
  <si>
    <t>Схематические обмеры планов  с указанием мест шурфов
2592,00* (1,25*0,3+2,4)</t>
  </si>
  <si>
    <t>РНиП 4.05.01-93 
Раздел 1 Таблица 1.8 
п.1 гр. 5; 
 к= 0,3 пояс.1
р.8 т.10 п.1.3</t>
  </si>
  <si>
    <t>Археологический надзор за шурфами
2592,00*20,96*0,3</t>
  </si>
  <si>
    <t>РНиП 4.05.01-93 
Раздел 4 Таблица 4.3
п.1 гр. 4, к=0,3 пояс. 5</t>
  </si>
  <si>
    <t>Отчет по результатам  исследований 
2592,00* 23,93</t>
  </si>
  <si>
    <t>РНиП 4.05.01-93 
Раздел 1 Таблица 4.4 
п.1 гр.4</t>
  </si>
  <si>
    <t>Фотофиксация при археологическом сопровождении
 2592,00* 0,167</t>
  </si>
  <si>
    <t>Итого по 2.1.4.</t>
  </si>
  <si>
    <t>2.2. Инженерные исследования</t>
  </si>
  <si>
    <t>Инженерное исследование
2592,00*(22,25+(24,75-22,25)* (1,315-1)/(2-1))*1,3* 0,5</t>
  </si>
  <si>
    <t>РНиП 4.05.01-93 
Раздел 1 Таблица 1.13 
п.3,4 гр. 4
к=1,3 поясн.1
к=0,5 - объем корр.</t>
  </si>
  <si>
    <t>Фотофиксация для инженерных исследований
2592,00* 0,167</t>
  </si>
  <si>
    <t>Отчет по результатам исследований
2592,00*39,12*1,1*0,5</t>
  </si>
  <si>
    <t>п.л.</t>
  </si>
  <si>
    <t>РНиП 4.05.01-93 
Раздел 1 Таблица 1.15 
п.2 гр.4
к=1,1 пояс.2                          к=0,5 - объем корр.</t>
  </si>
  <si>
    <t>Рекомендации по результатам инженерных исследований 
2592,00* 53,28*0,5</t>
  </si>
  <si>
    <t>РНиП 4.05.01-93 
Раздел 1 Таблица 1.15 
п.3 гр.4                          к=0,5 - объем корр.</t>
  </si>
  <si>
    <t>2.3. Технологические исследования по строительным и отделочным материалам</t>
  </si>
  <si>
    <t>Технологические исследования по строительным и отделочным материалам
2592,00*(50,29+(72,86-50,29)*(1,315-1)/(2-1))*0,65</t>
  </si>
  <si>
    <t>РНиП 4.05.01-93 
Раздел 1 Таблица 1.14 
п.3,4 гр.4
к=0,65 пояс.1</t>
  </si>
  <si>
    <t>Фотофиксация для технологических исследования
2592,00* 0,167</t>
  </si>
  <si>
    <t>Отп.</t>
  </si>
  <si>
    <t>Итого по п2.3</t>
  </si>
  <si>
    <t>III. Проект реставрации и приспособления</t>
  </si>
  <si>
    <t>3.1.Проект реставрации (Стадия Эскизный проект)</t>
  </si>
  <si>
    <t>Архитектурное решение проекта реставрации. Планы
2592,00*(10,35+(13,6-10,35)* (1,712-1)/(2-1))*1,25* 0,5</t>
  </si>
  <si>
    <t xml:space="preserve">РНиП 4.05.01-93 
Раздел 1 Таблица 1.16 
п.3,4 гр.4
к= 1,25 пояс. п.1
к=0,5 объем корр.
</t>
  </si>
  <si>
    <t>Архитектурное решение проекта реставрации. Фасады.
2592,00*(7,76+(11,96-7,76)* (1,712-1)/(2-1))*1,5* 0,5</t>
  </si>
  <si>
    <t>РНиП 4.05.01-93 
Раздел 1 Таблица 1.17 
п.3,4 гр.4
к= 1,5 пояс. п.1
к=0,5 объем корр.</t>
  </si>
  <si>
    <t>Архитектурное решение проекта реставрации. Разрезы. 
2592,00*(3,31+(5,02-3,31)* (1,712-1)/(2-1))*1,4* 0,5</t>
  </si>
  <si>
    <t xml:space="preserve">РНиП 4.05.01-93 
Раздел 1 Таблица 1.18 
п.3,4 гр.4
к= 1,4 пояс. п.1
к=0,5 объем корр.
</t>
  </si>
  <si>
    <t>Конструктивные решения
2592,00*(13,35+(14,85-13,35)* (1,712-1)/(2-1))*1,38* 3*0,5</t>
  </si>
  <si>
    <t xml:space="preserve">РНиП 4.05.01-93 
Раздел 1 Таблица 1.19 
п.3,4 гр.4
к=1,38 пояс. п.1
к= 3 пояс. п.2                          
к=0,5 объем корр                         
</t>
  </si>
  <si>
    <t>Пояснительная записка к проекту реставрации
2592,00* 37,35*0,5</t>
  </si>
  <si>
    <t>РНиП 4.05.01-93 
Раздел 1 Таблица 1.15 
п.1 гр.4                                       к=0,5 объем корр</t>
  </si>
  <si>
    <t>Итого по п.3.1</t>
  </si>
  <si>
    <t>3.2.Проект реставрации (Прочие)</t>
  </si>
  <si>
    <t>Генплан, вертикальная планировка 
2592,00*(4,42+2,81)*1,4*1,4*0,5</t>
  </si>
  <si>
    <t xml:space="preserve">РНиП 4.05.01-93 
Раздел 2 Таблица 2.8 
п.1,3 гр.4, 
к=1,4 поясн. П.1
к=1,4 прил.5 п.2 гр. 4
к=0,5 объем корр.
</t>
  </si>
  <si>
    <t>Проект организации реставрации
2592,00*(5,56+(7,95-5,56)* (1,712-1)/(2-1))*0,5</t>
  </si>
  <si>
    <t xml:space="preserve">РНиП 4.05.01-93 
Раздел 1 Таблица 1.20 
п.3,4 гр.4
к=0,5 объем корр.
</t>
  </si>
  <si>
    <t>Пояснительная записка к проекту организации реставрации
2592,00* 37,35*0,5</t>
  </si>
  <si>
    <t>Итого по п.3.2</t>
  </si>
  <si>
    <t xml:space="preserve">Итого по разделу III: </t>
  </si>
  <si>
    <t>4.1. Архитектурно-строительная часть</t>
  </si>
  <si>
    <t>Архитектурно-строительные рабочие чертежи  по памятнику в целом- планы
 2592,00*(4,35+(5,71-4,35)*(1,712-1)/(2-1))*0,5</t>
  </si>
  <si>
    <t xml:space="preserve">РНиП 4.05.01-93 
Раздел 1 Таблица 1.21 
п.3,4 гр.4;  
к=0,5 - объем корр.
</t>
  </si>
  <si>
    <t>Архитектурно-строительные рабочие чертежи по памятнику в целом - фасады
2592,00*(3,26+(5,02-3,26)*(1,712-1)/(2-1))*0,5</t>
  </si>
  <si>
    <t xml:space="preserve">РНиП 4.05.01-93 
Раздел 1 Таблица 1.22 
п.3,4 гр.4;  
к=0,5 - объем корр.
</t>
  </si>
  <si>
    <t>Архитектурно-строительные рабочие чертежи по памятнику в целом - разрезы
2592,00*(1,39+(2,11-1,39)*(1,712-1)/(2-1))*0,5</t>
  </si>
  <si>
    <t xml:space="preserve">РНиП 4.05.01-93 
Раздел 1 Таблица 1.23 
п.3,4 гр.4; </t>
  </si>
  <si>
    <t>Фрагменты планов, фасадов, разрезов, развертки стен
2592,00*0,77*1,25*0,5</t>
  </si>
  <si>
    <t xml:space="preserve">РНиП 4.05.01-93 
Раздел 1 Таблица 1.24 
п.1 гр. 5 
к= 1,25 пояс. п.1
к=0,5 объем корр.
</t>
  </si>
  <si>
    <t>Архитектурные детали
2592,00*0,46*1,25*0,5</t>
  </si>
  <si>
    <t xml:space="preserve">РНиП 4.05.01-93 
Раздел 1 Таблица 1.24 
п.2 гр. 5 
к= 1,25 пояс. п.1
к=0,5 объем корр.
</t>
  </si>
  <si>
    <t>Рабочие чертежи готовых изделий (столярных, металлических изделий).</t>
  </si>
  <si>
    <t>Общий вид
2592,00*0,81*1,25*0,5</t>
  </si>
  <si>
    <t xml:space="preserve">РНиП 4.05.01-93 
Раздел 1 Таблица 1.27 
п.1 гр.5 
к= 1,25 пояс. п.1
к=0,5 объем корр.
</t>
  </si>
  <si>
    <t>Детали
2592,00*0,74*1,25*0,5</t>
  </si>
  <si>
    <t xml:space="preserve">РНиП 4.05.01-93 
Раздел 1 Таблица 1.27 
п.1 гр.5 
к= 1,25 пояс. п.1
к=0,5 объем корр.
</t>
  </si>
  <si>
    <t xml:space="preserve">Итого по рабочим чертежам готовых изделий (столярные, металлические изделия) </t>
  </si>
  <si>
    <t>Итого по  п.4.1</t>
  </si>
  <si>
    <t>4.2. Инженерно-конструкторская часть</t>
  </si>
  <si>
    <t>Общий вид конструкций
2592,00*2,42*1,3*0,5</t>
  </si>
  <si>
    <t>РНиП 4.05.01-93 
Раздел 1 Таблица 1.25 
п.1 гр. 5
к=1,3 пояс.п.1
к=0,5 объем корр.</t>
  </si>
  <si>
    <t>Детали
2592,00*1,97*1,3*0,5</t>
  </si>
  <si>
    <t>РНиП 4.05.01-93 
Раздел 1 Таблица 1.25 
п.2 гр. 5
к=1,3 пояс. п.1
к=0,5 объем корр.</t>
  </si>
  <si>
    <t>Рекомендации, технологические карты, научно-методические указания по реставрации памятника
2592,00*37,35*0,5</t>
  </si>
  <si>
    <t>Итого по 4.2:</t>
  </si>
  <si>
    <t>4.7. Сметная документация</t>
  </si>
  <si>
    <t>Пояснительная записка к смете
2592,00*37,35</t>
  </si>
  <si>
    <t>Сметные расчеты по развернутой форме
2592,00* 0,82</t>
  </si>
  <si>
    <t>Составление ведомостей объемов работ
2592,00* 1,03</t>
  </si>
  <si>
    <t xml:space="preserve">ВСЕГО ПО СМЕТЕ </t>
  </si>
  <si>
    <t>Смета №4</t>
  </si>
  <si>
    <t>Проектная и рабочая документация</t>
  </si>
  <si>
    <t>Проект приспособления к современному использованию</t>
  </si>
  <si>
    <t>№
 п/п</t>
  </si>
  <si>
    <t>Площадь</t>
  </si>
  <si>
    <t xml:space="preserve"> м²</t>
  </si>
  <si>
    <t>МУ по применению СБЦ от 29.12.2009 г.: п. 1.4: К=0,4 (стадия П), К=0,6 (стадия РД)</t>
  </si>
  <si>
    <t>Раздел 1. Стадия  ПРОЕКТНАЯ ДОКУМЕНТАЦИЯ</t>
  </si>
  <si>
    <t>1.1. Устройство встроенного объема, внутренних инженерных сетей и оборудования</t>
  </si>
  <si>
    <t>СБЦП 81-2001-03 "Объекты жилищно-гражданского строительства" от 28 мая 2010 г., табл.25 п.1</t>
  </si>
  <si>
    <t>записка</t>
  </si>
  <si>
    <t>т.41 п.1: 2%</t>
  </si>
  <si>
    <t>проект</t>
  </si>
  <si>
    <t>т.41 п.3: 14%</t>
  </si>
  <si>
    <t xml:space="preserve">т.41 п.4: 15% </t>
  </si>
  <si>
    <t>прил.к т.41
7%-ЭС</t>
  </si>
  <si>
    <t>прил.к т.41
4%-ВС</t>
  </si>
  <si>
    <t>прил.к т.41
4%-ВО</t>
  </si>
  <si>
    <t>прил.к т.41
12%-ОВ и К             к=0,5 объем работ</t>
  </si>
  <si>
    <t>прил.к т.41
5%-ТХ</t>
  </si>
  <si>
    <t>прил.к т.41
6%-ПОС</t>
  </si>
  <si>
    <t>т.41 п.8
7%-ООС</t>
  </si>
  <si>
    <t>т.41 п.9
6%-ПБ</t>
  </si>
  <si>
    <t>т.41 п.10
2%-ОДИ</t>
  </si>
  <si>
    <t>итого по 1.1.</t>
  </si>
  <si>
    <t>1.2. Системы противопожарной и охранной защиты</t>
  </si>
  <si>
    <t>СБЦ на проектные работы для строительства "Системы противопожарной и охранной защиты"</t>
  </si>
  <si>
    <t>объект</t>
  </si>
  <si>
    <t xml:space="preserve">Таблица 3.п.1,2
к-1,2 п.3.2
к-1,5 прим.п3
к-1,3 п.2.2
к-0,25 п.2.7
</t>
  </si>
  <si>
    <t>Таблица 4.п.1,2
к-1,2 п.3.2
к-1,3 п.2.2</t>
  </si>
  <si>
    <t>Таблица 5.п.1,2
к-1,2 п.3.2
к-1,1 прим.2
к-1,3 п.2.2</t>
  </si>
  <si>
    <t>итого по 1.2.</t>
  </si>
  <si>
    <t>1.3. Системы связи</t>
  </si>
  <si>
    <t>СБЦ на проектные работы для строительства "Объекты связи"</t>
  </si>
  <si>
    <t xml:space="preserve">Таблица 24 п.1,2,8
</t>
  </si>
  <si>
    <t>Итого по 1.3.</t>
  </si>
  <si>
    <t xml:space="preserve">1.4. Архитектурный подсвет здания </t>
  </si>
  <si>
    <t>СБЦП 81-2001-07 Коммунальные инженерные сети и сооружения от 24.05.2012 г.</t>
  </si>
  <si>
    <t>табл. 3, п.4,                          К=0,53 - площадь</t>
  </si>
  <si>
    <t>Итого по 1.4.</t>
  </si>
  <si>
    <t>1.5. Перечень мероприятий по гражданской обороне, мероприятий по предупреждению чрезвычайных ситуаций природного и техногенного характера, мероприятий по противодействию терроризму</t>
  </si>
  <si>
    <t>СБЦ ИТМ ГОЧС от 16.01.2006г., табл. 2,3: к-1,4 сложность</t>
  </si>
  <si>
    <t>Итого 1.5.</t>
  </si>
  <si>
    <t>Итого по разделу 1</t>
  </si>
  <si>
    <t>Раздел 2. Стадия РАБОЧАЯ ДОКУМЕНТАЦИЯ</t>
  </si>
  <si>
    <t xml:space="preserve"> 2.1. Устройство встроенного объема, внутренних инженерных сетей и оборудования</t>
  </si>
  <si>
    <t>т.42 п.3: 22%             к=0,5 объем работ</t>
  </si>
  <si>
    <t xml:space="preserve">т.42 п.4: 27%             к=0,5 объем работ
</t>
  </si>
  <si>
    <t>прил.к т.42
5%-ЭС</t>
  </si>
  <si>
    <t>прил.к т.42
3%-ВС</t>
  </si>
  <si>
    <t>прил.к т.42
3%-ВО</t>
  </si>
  <si>
    <t>прил.к т.42
14%-ОВ и К              к=0,5 объем работ</t>
  </si>
  <si>
    <t>прил.к т.42
4%-ТХ</t>
  </si>
  <si>
    <t>т.42 п.11
9%-сметы</t>
  </si>
  <si>
    <t>итого по 2.1.</t>
  </si>
  <si>
    <t xml:space="preserve">   2.2. Системы противопожарной и охранной защиты</t>
  </si>
  <si>
    <t>Итого по 2.2</t>
  </si>
  <si>
    <t>2.3. Системы связи</t>
  </si>
  <si>
    <t>Итого по2.3.</t>
  </si>
  <si>
    <t xml:space="preserve">2.4. Архитектурный подсвет здания </t>
  </si>
  <si>
    <t>Итого по 2.4.</t>
  </si>
  <si>
    <t>Итого по разделу 2</t>
  </si>
  <si>
    <t>Итого по смете</t>
  </si>
  <si>
    <t>Смета №5</t>
  </si>
  <si>
    <t>Историко-культурная экспертиза</t>
  </si>
  <si>
    <t>Раздел I. Историко-культурная экспертиза</t>
  </si>
  <si>
    <t>Ознакомление с предъявленной  документацией
540,00*4,00*1,29</t>
  </si>
  <si>
    <t xml:space="preserve">РНиП 4.05.01-93 
Раздел 1 Таблица 1.2  п.3 гр.3
</t>
  </si>
  <si>
    <t>Историко-культурная экспертиза (3х экспертов)
620,00*4,00*3</t>
  </si>
  <si>
    <t>ч/дн</t>
  </si>
  <si>
    <t>письмо МК РФ №01-211-16/14 от 13.10.98г.</t>
  </si>
  <si>
    <t>Пояснительная записка
540,00*4,00*46,15</t>
  </si>
  <si>
    <t>п/л</t>
  </si>
  <si>
    <t xml:space="preserve">РНиП 4.05.01-93 
Раздел 1 Таблица 1.15  п.1.5
</t>
  </si>
  <si>
    <t>Итого по разделу I</t>
  </si>
  <si>
    <t>смета №2</t>
  </si>
  <si>
    <t>смета №3</t>
  </si>
  <si>
    <t>Научно-проектная документация</t>
  </si>
  <si>
    <t>4</t>
  </si>
  <si>
    <t>смета №4</t>
  </si>
  <si>
    <t>5</t>
  </si>
  <si>
    <t>смета №5</t>
  </si>
  <si>
    <t>Инженер-сметчик группы сметных расчетов центра сметно-договорной работы</t>
  </si>
  <si>
    <t>Ивец В.М.</t>
  </si>
  <si>
    <t>6</t>
  </si>
  <si>
    <t>7</t>
  </si>
  <si>
    <t>8</t>
  </si>
  <si>
    <t>Такташов Ю. А.</t>
  </si>
  <si>
    <t xml:space="preserve">- </t>
  </si>
  <si>
    <t>-</t>
  </si>
  <si>
    <t>руб.</t>
  </si>
  <si>
    <t>Перевод в цены  I кв. 2020 г. Письмо Минстроя России от 19.02.2020 №5414-ИФ/09</t>
  </si>
  <si>
    <t xml:space="preserve">Приложение 2 к письму Минстроя России №5414 -ИФ/09 от 19.02.2020 г.: К=4,32 к 2001 г.; К=33,24 к 1991 г. - индексы изменения сметной стоимости             </t>
  </si>
  <si>
    <t>Расчет базовой цены:(530,71+0,158*100)*1000*4,32=</t>
  </si>
  <si>
    <t>Пояснительная записка
2 360 923,20*0,4*0,02</t>
  </si>
  <si>
    <t>Архитектурные решения
2 360 923,20*0,4*0,14*0,5</t>
  </si>
  <si>
    <t>Конструктивные и объемно-планировочные решения
2 360 923,20*0,4*0,15*0,5</t>
  </si>
  <si>
    <t>Электроснабжение
2 360 923,20*0,4 *0,07</t>
  </si>
  <si>
    <t>Водоснабжение
2 360 923,20*0,4*0,04</t>
  </si>
  <si>
    <t>Водоотведение
2 360 923,20*0,4 *0,04</t>
  </si>
  <si>
    <t>Отопление, вентиляция, кондиционирование воздуха
2 360 923,20*0,4*0,12*0,5</t>
  </si>
  <si>
    <t>Технологические решения
2 360 923,20*0,4*0,05</t>
  </si>
  <si>
    <t>Проект организации строительства
2 360 923,20*0,4 *0,06</t>
  </si>
  <si>
    <t>Мероприятия по охране окружающей среды
2 360 923,20*0,4 *0,07</t>
  </si>
  <si>
    <t>Мероприятия по обеспечению пожарной безопасности
2 360 923,20*0,4*0,06</t>
  </si>
  <si>
    <t>Мероприятия по обеспечению доступа инвалидов
2 360 923,20*0,4*0,02</t>
  </si>
  <si>
    <t>Автоматические установки  пожарной сигнализации (S=100+151,5 м2)
(0,6+0,692)*1000*33,24*1,2*1,5*1,3*0,4</t>
  </si>
  <si>
    <t>Система оповещения людей о пожаре (S=100+151,5 м2)
(0,48+0,554)*1000*33,24*1,2*1,3*0,4</t>
  </si>
  <si>
    <t>Установка охранной сигнализации (S=100 м2)
(0,54)*1000*33,24*1,2*1,1*1,3*0,4</t>
  </si>
  <si>
    <t>Локальная вычислительная сеть с числом узлов 2
Структурированная кабельная сеть с числом узлов 2
АРМ 1
(2,4+(2,45+3,68*2)*2)*4,32*1000*0,4</t>
  </si>
  <si>
    <t xml:space="preserve">Архитектурный подсвет здания 
Sфас до 750 м2
85,87х4,32х0,4х1000х0,53=
</t>
  </si>
  <si>
    <t>ИТМ ГОЧС   30500*1,4*4,32</t>
  </si>
  <si>
    <t>Архитектурные решения
2 360 923,20*0,6*0,22*0,5</t>
  </si>
  <si>
    <t>Конструктивные и объемно-планировочные решения
2 360 923,20*0,6*0,27*0,5</t>
  </si>
  <si>
    <t>Электроснабжение
2 360 923,20*0,6*0,05</t>
  </si>
  <si>
    <t>Водоснабжение
2 360 923,20*0,6*0,03</t>
  </si>
  <si>
    <t>Водоотведение
2 360 923,20*0,6*0,03</t>
  </si>
  <si>
    <t>Отопление, вентиляция, кондиционирование воздуха
2 360 923,20*0,6*0,14*0,5</t>
  </si>
  <si>
    <t>Технологические решения
2 360 923,20*0,6*0,04</t>
  </si>
  <si>
    <t>Смета на строительство
2 360 923,20*0,6*0,09</t>
  </si>
  <si>
    <t>Автоматические установки  пожарной сигнализации (S=100+151,5 м2)
(0,6+0,692)*1000*33,24*1,2*1,5*1,3*0,6</t>
  </si>
  <si>
    <t>Система оповещения людей о пожаре (S=100+151,5 м2)
(0,48+0,554)*1000*33,24*1,2*1,3*0,6</t>
  </si>
  <si>
    <t>Установка охранной сигнализации (S=100+151,5 м2)
(0,54+0,623)*1000*33,24*1,2*1,1*1,3*0,6</t>
  </si>
  <si>
    <t>Локальная вычислительная сеть с числом узлов 2
Структурированная кабельная сеть с числом узлов 2
АРМ 1
(2,4+(2,45+3,68*2)*2)*4,32*1000*0,6</t>
  </si>
  <si>
    <t xml:space="preserve">Архитектурный подсвет здания 
Количество фасадов  4
Sфас до 750 м2
85,87х4,32х0,6х1000х0,53=
</t>
  </si>
  <si>
    <t xml:space="preserve">Сметный расчет составлен в ценах I кв. 2020 г.                                                                                                                  </t>
  </si>
  <si>
    <t>форма №2П</t>
  </si>
  <si>
    <t>Разработка мероприятий по обеспечению сохранности объектов археологического наследия при проведении земляных работ</t>
  </si>
  <si>
    <t xml:space="preserve">
</t>
  </si>
  <si>
    <r>
      <rPr>
        <b/>
        <sz val="11"/>
        <rFont val="Times New Roman"/>
        <family val="1"/>
        <charset val="204"/>
      </rPr>
      <t>Цена</t>
    </r>
  </si>
  <si>
    <r>
      <rPr>
        <b/>
        <sz val="12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</si>
  <si>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</si>
  <si>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</si>
  <si>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4</t>
    </r>
  </si>
  <si>
    <r>
      <rPr>
        <b/>
        <sz val="11"/>
        <rFont val="Times New Roman"/>
        <family val="1"/>
        <charset val="204"/>
      </rPr>
      <t>5</t>
    </r>
  </si>
  <si>
    <r>
      <rPr>
        <b/>
        <sz val="11"/>
        <rFont val="Times New Roman"/>
        <family val="1"/>
        <charset val="204"/>
      </rPr>
      <t>6</t>
    </r>
  </si>
  <si>
    <r>
      <rPr>
        <b/>
        <sz val="11"/>
        <rFont val="Times New Roman"/>
        <family val="1"/>
        <charset val="204"/>
      </rPr>
      <t>7</t>
    </r>
  </si>
  <si>
    <t>Предварительные работы</t>
  </si>
  <si>
    <t>1.1. Предварительное ознакомление с литературными и графическими материалами.</t>
  </si>
  <si>
    <t>СЦНПР-91-1 гл.1, табл.1-2, п.1</t>
  </si>
  <si>
    <t>1.2. Историко-архивные и библиографические изыскания.</t>
  </si>
  <si>
    <t>памятник</t>
  </si>
  <si>
    <t>СЦНПР-91-1, табл.1-4</t>
  </si>
  <si>
    <t>Итого: по п.1</t>
  </si>
  <si>
    <t>Отчет об археологических исследованиях.</t>
  </si>
  <si>
    <t>2.1. Подготовка документации к разделу. Написание акта государственной историко-культурной экспертизы.</t>
  </si>
  <si>
    <t>печатный лист формата А1</t>
  </si>
  <si>
    <t>СЦНПР-91-1, Раздел 6 Гл.3 табл.6-3 п.7 в</t>
  </si>
  <si>
    <t>Итого: по п.2</t>
  </si>
  <si>
    <t>Итого по п.1-2</t>
  </si>
  <si>
    <t>Коэффициент  =58,40 по пп.1-2</t>
  </si>
  <si>
    <t xml:space="preserve">Письмо Минкультуры РФ от 13.10.1998 № 01-211/16-14, Письмо Минкультуры РФ от 20.12.2011 № 107-01-39/10-КЧ </t>
  </si>
  <si>
    <t>Всего по смете</t>
  </si>
  <si>
    <t>Смета №6</t>
  </si>
  <si>
    <t>смета №6</t>
  </si>
  <si>
    <t xml:space="preserve">Стоимость ч/дня (письмо МК РФ №01-211-16/14 от 13.10.98г.) - 540 руб п. 2;
</t>
  </si>
  <si>
    <t>Индекс изменения сметной стоимости проектных работ на IV квартал 2011 года к = 4,00 (Письмо МК РФ от 20.12.2011г. № 107-01-39/10-КЧ)</t>
  </si>
  <si>
    <t>Историко-архивные и библиографические исследования              540 х 4 х 77,61</t>
  </si>
  <si>
    <t>РНиП 4.05.01-93 
Раздел 1 Таблица 1.3 
п.1, гр.4</t>
  </si>
  <si>
    <t>Пояснительная записка раздела                     540 х 4 х 37,35</t>
  </si>
  <si>
    <t>РНиП 4.05.01-93 
Раздел 1 Таблица 1.15, 
п.1 гр.4</t>
  </si>
  <si>
    <t>Меры по обеспечению сохранности (рекомендации, научно-методические указания)                                                  540 х 4 х 53,28</t>
  </si>
  <si>
    <t>РНиП 4.05.01-93 
Раздел 1 Таблица 1.15,
п.3 гр.4</t>
  </si>
  <si>
    <t>НДС не облагается в соответствии с пп.15 п.2 ст. 149 Налогового Кодекса Российской Федерации</t>
  </si>
  <si>
    <t>Смета №7</t>
  </si>
  <si>
    <t>смета №7</t>
  </si>
  <si>
    <t>9</t>
  </si>
  <si>
    <t>10</t>
  </si>
  <si>
    <t>Разработка мероприятий по обеспечению сохранности объектов культурного наследия</t>
  </si>
  <si>
    <t xml:space="preserve">                                                                                                           "_______"__________________ 2020 г.</t>
  </si>
  <si>
    <t>Историко-культурная экспертиза               (1 эксперт)
540,00*4,00*1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</si>
</sst>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%"/>
    <numFmt numFmtId="166" formatCode="#,##0.00_р_."/>
    <numFmt numFmtId="167" formatCode="#,##0.00_ ;[Red]\-#,##0.00\ "/>
    <numFmt numFmtId="168" formatCode="#,##0.0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0"/>
      <color indexed="12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.5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10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indexed="57"/>
      <name val="Arial"/>
      <family val="2"/>
      <charset val="204"/>
    </font>
    <font>
      <b/>
      <sz val="11"/>
      <name val="Calibri"/>
      <family val="2"/>
      <charset val="204"/>
    </font>
    <font>
      <sz val="11"/>
      <name val="Arial"/>
      <family val="2"/>
      <charset val="204"/>
    </font>
    <font>
      <sz val="11"/>
      <color rgb="FFFF0000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sz val="11"/>
      <color indexed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12" fillId="0" borderId="0">
      <alignment horizontal="center" vertical="center"/>
    </xf>
    <xf numFmtId="0" fontId="13" fillId="0" borderId="0">
      <alignment horizontal="center" vertical="top"/>
    </xf>
    <xf numFmtId="0" fontId="13" fillId="0" borderId="10">
      <alignment horizontal="center" vertical="center"/>
    </xf>
    <xf numFmtId="0" fontId="13" fillId="0" borderId="10">
      <alignment horizontal="left" vertical="center"/>
    </xf>
    <xf numFmtId="0" fontId="13" fillId="0" borderId="15">
      <alignment horizontal="left" vertical="top"/>
    </xf>
    <xf numFmtId="0" fontId="13" fillId="0" borderId="10">
      <alignment horizontal="right" vertical="center"/>
    </xf>
    <xf numFmtId="0" fontId="13" fillId="0" borderId="0">
      <alignment horizontal="left" vertical="top"/>
    </xf>
    <xf numFmtId="0" fontId="4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48" fillId="0" borderId="0"/>
    <xf numFmtId="0" fontId="48" fillId="0" borderId="0"/>
  </cellStyleXfs>
  <cellXfs count="663">
    <xf numFmtId="0" fontId="0" fillId="0" borderId="0" xfId="0"/>
    <xf numFmtId="0" fontId="6" fillId="0" borderId="0" xfId="0" applyFont="1" applyAlignment="1">
      <alignment vertical="top"/>
    </xf>
    <xf numFmtId="0" fontId="8" fillId="0" borderId="0" xfId="0" applyFont="1" applyAlignment="1">
      <alignment horizontal="left" vertical="center" wrapText="1"/>
    </xf>
    <xf numFmtId="0" fontId="6" fillId="0" borderId="9" xfId="0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wrapText="1"/>
    </xf>
    <xf numFmtId="49" fontId="6" fillId="0" borderId="10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/>
    </xf>
    <xf numFmtId="0" fontId="6" fillId="2" borderId="11" xfId="0" applyFont="1" applyFill="1" applyBorder="1" applyAlignment="1">
      <alignment horizontal="center" vertical="top"/>
    </xf>
    <xf numFmtId="49" fontId="6" fillId="2" borderId="10" xfId="0" applyNumberFormat="1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left" vertical="top" wrapText="1"/>
    </xf>
    <xf numFmtId="0" fontId="6" fillId="0" borderId="12" xfId="3" applyFont="1" applyBorder="1" applyAlignment="1">
      <alignment horizontal="left" vertical="center" wrapText="1"/>
    </xf>
    <xf numFmtId="4" fontId="6" fillId="2" borderId="10" xfId="0" applyNumberFormat="1" applyFont="1" applyFill="1" applyBorder="1" applyAlignment="1">
      <alignment horizontal="right" vertical="top"/>
    </xf>
    <xf numFmtId="49" fontId="5" fillId="2" borderId="10" xfId="0" applyNumberFormat="1" applyFont="1" applyFill="1" applyBorder="1" applyAlignment="1">
      <alignment horizontal="left" vertical="top" wrapText="1"/>
    </xf>
    <xf numFmtId="4" fontId="5" fillId="2" borderId="10" xfId="0" applyNumberFormat="1" applyFont="1" applyFill="1" applyBorder="1" applyAlignment="1">
      <alignment horizontal="right" vertical="top"/>
    </xf>
    <xf numFmtId="49" fontId="6" fillId="0" borderId="10" xfId="0" applyNumberFormat="1" applyFont="1" applyBorder="1" applyAlignment="1">
      <alignment horizontal="left" vertical="top" wrapText="1"/>
    </xf>
    <xf numFmtId="4" fontId="6" fillId="0" borderId="0" xfId="0" applyNumberFormat="1" applyFont="1"/>
    <xf numFmtId="0" fontId="10" fillId="0" borderId="0" xfId="0" applyFont="1"/>
    <xf numFmtId="0" fontId="1" fillId="0" borderId="0" xfId="15"/>
    <xf numFmtId="0" fontId="1" fillId="0" borderId="31" xfId="15" applyBorder="1" applyAlignment="1">
      <alignment horizontal="center" vertical="center" wrapText="1"/>
    </xf>
    <xf numFmtId="0" fontId="1" fillId="0" borderId="36" xfId="15" applyBorder="1" applyAlignment="1">
      <alignment horizontal="center" vertical="center"/>
    </xf>
    <xf numFmtId="4" fontId="16" fillId="0" borderId="39" xfId="15" applyNumberFormat="1" applyFont="1" applyBorder="1" applyAlignment="1">
      <alignment horizontal="left"/>
    </xf>
    <xf numFmtId="0" fontId="1" fillId="0" borderId="40" xfId="15" applyBorder="1" applyAlignment="1">
      <alignment horizontal="center" vertical="center"/>
    </xf>
    <xf numFmtId="0" fontId="19" fillId="0" borderId="0" xfId="15" applyFont="1" applyBorder="1" applyAlignment="1">
      <alignment horizontal="left"/>
    </xf>
    <xf numFmtId="0" fontId="19" fillId="0" borderId="41" xfId="15" applyFont="1" applyBorder="1" applyAlignment="1">
      <alignment horizontal="left"/>
    </xf>
    <xf numFmtId="4" fontId="16" fillId="0" borderId="42" xfId="15" applyNumberFormat="1" applyFont="1" applyBorder="1" applyAlignment="1">
      <alignment horizontal="left"/>
    </xf>
    <xf numFmtId="0" fontId="16" fillId="0" borderId="40" xfId="15" applyFont="1" applyBorder="1"/>
    <xf numFmtId="164" fontId="16" fillId="0" borderId="0" xfId="15" applyNumberFormat="1" applyFont="1" applyBorder="1"/>
    <xf numFmtId="0" fontId="16" fillId="0" borderId="41" xfId="15" applyFont="1" applyBorder="1"/>
    <xf numFmtId="0" fontId="16" fillId="0" borderId="40" xfId="15" applyFont="1" applyBorder="1" applyAlignment="1">
      <alignment horizontal="center"/>
    </xf>
    <xf numFmtId="0" fontId="16" fillId="0" borderId="0" xfId="15" applyFont="1" applyBorder="1" applyAlignment="1">
      <alignment horizontal="center"/>
    </xf>
    <xf numFmtId="0" fontId="16" fillId="0" borderId="0" xfId="15" applyFont="1" applyBorder="1" applyAlignment="1">
      <alignment horizontal="left"/>
    </xf>
    <xf numFmtId="0" fontId="16" fillId="0" borderId="41" xfId="15" applyFont="1" applyBorder="1" applyAlignment="1">
      <alignment horizontal="left"/>
    </xf>
    <xf numFmtId="0" fontId="1" fillId="0" borderId="43" xfId="15" applyBorder="1" applyAlignment="1">
      <alignment horizontal="center" vertical="center"/>
    </xf>
    <xf numFmtId="0" fontId="16" fillId="0" borderId="15" xfId="15" applyFont="1" applyBorder="1" applyAlignment="1"/>
    <xf numFmtId="0" fontId="16" fillId="0" borderId="44" xfId="15" applyFont="1" applyBorder="1" applyAlignment="1"/>
    <xf numFmtId="4" fontId="16" fillId="0" borderId="28" xfId="15" applyNumberFormat="1" applyFont="1" applyBorder="1" applyAlignment="1">
      <alignment horizontal="left"/>
    </xf>
    <xf numFmtId="0" fontId="16" fillId="0" borderId="45" xfId="15" applyFont="1" applyBorder="1"/>
    <xf numFmtId="2" fontId="20" fillId="0" borderId="16" xfId="15" applyNumberFormat="1" applyFont="1" applyBorder="1" applyAlignment="1">
      <alignment horizontal="left"/>
    </xf>
    <xf numFmtId="0" fontId="16" fillId="0" borderId="46" xfId="15" applyFont="1" applyBorder="1"/>
    <xf numFmtId="0" fontId="19" fillId="0" borderId="15" xfId="15" applyFont="1" applyBorder="1" applyAlignment="1">
      <alignment horizontal="left"/>
    </xf>
    <xf numFmtId="0" fontId="19" fillId="0" borderId="44" xfId="15" applyFont="1" applyBorder="1" applyAlignment="1">
      <alignment horizontal="left"/>
    </xf>
    <xf numFmtId="0" fontId="16" fillId="0" borderId="0" xfId="15" applyFont="1" applyBorder="1"/>
    <xf numFmtId="0" fontId="16" fillId="0" borderId="16" xfId="15" applyFont="1" applyBorder="1" applyAlignment="1">
      <alignment horizontal="center"/>
    </xf>
    <xf numFmtId="0" fontId="16" fillId="0" borderId="16" xfId="15" applyFont="1" applyBorder="1" applyAlignment="1">
      <alignment horizontal="left"/>
    </xf>
    <xf numFmtId="0" fontId="16" fillId="0" borderId="46" xfId="15" applyFont="1" applyBorder="1" applyAlignment="1">
      <alignment horizontal="left"/>
    </xf>
    <xf numFmtId="10" fontId="19" fillId="0" borderId="41" xfId="15" applyNumberFormat="1" applyFont="1" applyBorder="1" applyAlignment="1">
      <alignment horizontal="left"/>
    </xf>
    <xf numFmtId="164" fontId="16" fillId="0" borderId="0" xfId="15" applyNumberFormat="1" applyFont="1" applyBorder="1" applyAlignment="1">
      <alignment horizontal="left"/>
    </xf>
    <xf numFmtId="0" fontId="16" fillId="0" borderId="15" xfId="15" applyFont="1" applyBorder="1" applyAlignment="1">
      <alignment horizontal="center"/>
    </xf>
    <xf numFmtId="165" fontId="16" fillId="0" borderId="41" xfId="15" applyNumberFormat="1" applyFont="1" applyBorder="1" applyAlignment="1">
      <alignment horizontal="left"/>
    </xf>
    <xf numFmtId="0" fontId="1" fillId="0" borderId="40" xfId="15" applyBorder="1"/>
    <xf numFmtId="4" fontId="1" fillId="0" borderId="42" xfId="15" applyNumberFormat="1" applyBorder="1"/>
    <xf numFmtId="0" fontId="1" fillId="0" borderId="43" xfId="15" applyBorder="1" applyAlignment="1">
      <alignment horizontal="center"/>
    </xf>
    <xf numFmtId="9" fontId="16" fillId="0" borderId="41" xfId="15" applyNumberFormat="1" applyFont="1" applyBorder="1" applyAlignment="1">
      <alignment horizontal="left"/>
    </xf>
    <xf numFmtId="0" fontId="1" fillId="0" borderId="0" xfId="15" applyBorder="1"/>
    <xf numFmtId="0" fontId="1" fillId="0" borderId="41" xfId="15" applyBorder="1"/>
    <xf numFmtId="4" fontId="16" fillId="0" borderId="42" xfId="15" applyNumberFormat="1" applyFont="1" applyBorder="1"/>
    <xf numFmtId="0" fontId="1" fillId="0" borderId="47" xfId="15" applyBorder="1" applyAlignment="1">
      <alignment horizontal="center"/>
    </xf>
    <xf numFmtId="4" fontId="16" fillId="0" borderId="25" xfId="15" applyNumberFormat="1" applyFont="1" applyBorder="1" applyAlignment="1">
      <alignment horizontal="left"/>
    </xf>
    <xf numFmtId="0" fontId="1" fillId="0" borderId="49" xfId="15" applyBorder="1" applyAlignment="1">
      <alignment horizontal="center"/>
    </xf>
    <xf numFmtId="0" fontId="16" fillId="0" borderId="50" xfId="15" applyFont="1" applyBorder="1"/>
    <xf numFmtId="0" fontId="16" fillId="0" borderId="51" xfId="15" applyFont="1" applyBorder="1"/>
    <xf numFmtId="4" fontId="16" fillId="0" borderId="52" xfId="15" applyNumberFormat="1" applyFont="1" applyBorder="1" applyAlignment="1">
      <alignment horizontal="left"/>
    </xf>
    <xf numFmtId="0" fontId="1" fillId="0" borderId="0" xfId="15" applyAlignment="1">
      <alignment horizontal="center"/>
    </xf>
    <xf numFmtId="0" fontId="16" fillId="0" borderId="0" xfId="15" applyFont="1"/>
    <xf numFmtId="0" fontId="16" fillId="0" borderId="0" xfId="15" applyFont="1" applyBorder="1" applyAlignment="1"/>
    <xf numFmtId="0" fontId="1" fillId="0" borderId="39" xfId="15" applyBorder="1" applyAlignment="1">
      <alignment horizontal="center" vertical="center" wrapText="1"/>
    </xf>
    <xf numFmtId="0" fontId="1" fillId="0" borderId="37" xfId="15" applyBorder="1" applyAlignment="1">
      <alignment horizontal="center" vertical="center" wrapText="1"/>
    </xf>
    <xf numFmtId="3" fontId="1" fillId="0" borderId="39" xfId="15" applyNumberFormat="1" applyBorder="1" applyAlignment="1">
      <alignment horizontal="center" vertical="center" wrapText="1"/>
    </xf>
    <xf numFmtId="0" fontId="1" fillId="0" borderId="28" xfId="15" applyBorder="1" applyAlignment="1">
      <alignment horizontal="center" vertical="center"/>
    </xf>
    <xf numFmtId="0" fontId="16" fillId="0" borderId="15" xfId="15" applyFont="1" applyBorder="1" applyAlignment="1">
      <alignment horizontal="left"/>
    </xf>
    <xf numFmtId="166" fontId="16" fillId="0" borderId="28" xfId="15" applyNumberFormat="1" applyFont="1" applyBorder="1" applyAlignment="1">
      <alignment horizontal="left"/>
    </xf>
    <xf numFmtId="0" fontId="1" fillId="0" borderId="42" xfId="15" applyBorder="1" applyAlignment="1">
      <alignment horizontal="center" vertical="center"/>
    </xf>
    <xf numFmtId="166" fontId="16" fillId="0" borderId="42" xfId="15" applyNumberFormat="1" applyFont="1" applyBorder="1" applyAlignment="1">
      <alignment horizontal="left"/>
    </xf>
    <xf numFmtId="0" fontId="16" fillId="0" borderId="0" xfId="15" applyFont="1" applyBorder="1" applyAlignment="1">
      <alignment horizontal="right"/>
    </xf>
    <xf numFmtId="0" fontId="16" fillId="0" borderId="40" xfId="15" applyFont="1" applyBorder="1" applyAlignment="1">
      <alignment horizontal="left"/>
    </xf>
    <xf numFmtId="0" fontId="1" fillId="0" borderId="28" xfId="15" applyFont="1" applyBorder="1" applyAlignment="1">
      <alignment horizontal="center" vertical="center"/>
    </xf>
    <xf numFmtId="0" fontId="19" fillId="0" borderId="15" xfId="15" applyFont="1" applyBorder="1" applyAlignment="1">
      <alignment horizontal="center"/>
    </xf>
    <xf numFmtId="0" fontId="19" fillId="0" borderId="15" xfId="15" applyFont="1" applyBorder="1" applyAlignment="1"/>
    <xf numFmtId="0" fontId="1" fillId="0" borderId="42" xfId="15" applyFont="1" applyBorder="1" applyAlignment="1">
      <alignment horizontal="center" vertical="center"/>
    </xf>
    <xf numFmtId="0" fontId="16" fillId="0" borderId="40" xfId="15" applyFont="1" applyBorder="1" applyAlignment="1"/>
    <xf numFmtId="0" fontId="16" fillId="0" borderId="41" xfId="15" applyFont="1" applyBorder="1" applyAlignment="1"/>
    <xf numFmtId="0" fontId="16" fillId="0" borderId="16" xfId="15" applyFont="1" applyBorder="1" applyAlignment="1"/>
    <xf numFmtId="0" fontId="19" fillId="0" borderId="0" xfId="15" applyFont="1" applyBorder="1" applyAlignment="1">
      <alignment horizontal="center"/>
    </xf>
    <xf numFmtId="0" fontId="19" fillId="0" borderId="0" xfId="15" applyFont="1" applyBorder="1" applyAlignment="1"/>
    <xf numFmtId="0" fontId="19" fillId="0" borderId="16" xfId="15" applyFont="1" applyBorder="1" applyAlignment="1">
      <alignment horizontal="center"/>
    </xf>
    <xf numFmtId="0" fontId="19" fillId="0" borderId="16" xfId="15" applyFont="1" applyBorder="1" applyAlignment="1"/>
    <xf numFmtId="0" fontId="1" fillId="0" borderId="25" xfId="15" applyBorder="1" applyAlignment="1">
      <alignment horizontal="center" vertical="center"/>
    </xf>
    <xf numFmtId="0" fontId="19" fillId="0" borderId="20" xfId="15" applyFont="1" applyBorder="1" applyAlignment="1">
      <alignment horizontal="left"/>
    </xf>
    <xf numFmtId="0" fontId="16" fillId="0" borderId="20" xfId="15" applyFont="1" applyBorder="1" applyAlignment="1">
      <alignment horizontal="left"/>
    </xf>
    <xf numFmtId="166" fontId="16" fillId="0" borderId="25" xfId="15" applyNumberFormat="1" applyFont="1" applyBorder="1" applyAlignment="1">
      <alignment horizontal="left"/>
    </xf>
    <xf numFmtId="164" fontId="19" fillId="0" borderId="15" xfId="15" applyNumberFormat="1" applyFont="1" applyBorder="1" applyAlignment="1"/>
    <xf numFmtId="0" fontId="1" fillId="0" borderId="55" xfId="15" applyBorder="1" applyAlignment="1">
      <alignment horizontal="center" vertical="center"/>
    </xf>
    <xf numFmtId="0" fontId="19" fillId="0" borderId="16" xfId="15" applyFont="1" applyBorder="1" applyAlignment="1">
      <alignment horizontal="left"/>
    </xf>
    <xf numFmtId="166" fontId="16" fillId="0" borderId="55" xfId="15" applyNumberFormat="1" applyFont="1" applyBorder="1" applyAlignment="1">
      <alignment horizontal="left"/>
    </xf>
    <xf numFmtId="0" fontId="1" fillId="0" borderId="55" xfId="15" applyBorder="1" applyAlignment="1">
      <alignment horizontal="left" vertical="center" indent="1"/>
    </xf>
    <xf numFmtId="0" fontId="16" fillId="0" borderId="16" xfId="15" applyFont="1" applyBorder="1" applyAlignment="1">
      <alignment horizontal="left" indent="1"/>
    </xf>
    <xf numFmtId="0" fontId="19" fillId="0" borderId="16" xfId="15" applyFont="1" applyBorder="1" applyAlignment="1">
      <alignment horizontal="left" indent="1"/>
    </xf>
    <xf numFmtId="166" fontId="16" fillId="0" borderId="55" xfId="15" applyNumberFormat="1" applyFont="1" applyBorder="1" applyAlignment="1">
      <alignment horizontal="left" indent="1"/>
    </xf>
    <xf numFmtId="0" fontId="1" fillId="0" borderId="0" xfId="15" applyAlignment="1">
      <alignment horizontal="left" indent="1"/>
    </xf>
    <xf numFmtId="0" fontId="1" fillId="0" borderId="28" xfId="15" applyBorder="1" applyAlignment="1">
      <alignment horizontal="center"/>
    </xf>
    <xf numFmtId="0" fontId="1" fillId="0" borderId="42" xfId="15" applyBorder="1"/>
    <xf numFmtId="9" fontId="16" fillId="0" borderId="0" xfId="15" applyNumberFormat="1" applyFont="1" applyBorder="1" applyAlignment="1">
      <alignment horizontal="left"/>
    </xf>
    <xf numFmtId="166" fontId="16" fillId="0" borderId="42" xfId="15" applyNumberFormat="1" applyFont="1" applyBorder="1"/>
    <xf numFmtId="0" fontId="1" fillId="0" borderId="0" xfId="15" applyBorder="1" applyAlignment="1"/>
    <xf numFmtId="0" fontId="1" fillId="0" borderId="55" xfId="15" applyBorder="1"/>
    <xf numFmtId="0" fontId="1" fillId="0" borderId="16" xfId="15" applyBorder="1" applyAlignment="1"/>
    <xf numFmtId="166" fontId="16" fillId="0" borderId="55" xfId="15" applyNumberFormat="1" applyFont="1" applyBorder="1"/>
    <xf numFmtId="0" fontId="1" fillId="0" borderId="25" xfId="15" applyBorder="1" applyAlignment="1">
      <alignment horizontal="center"/>
    </xf>
    <xf numFmtId="0" fontId="19" fillId="0" borderId="20" xfId="15" applyFont="1" applyBorder="1" applyAlignment="1">
      <alignment horizontal="center"/>
    </xf>
    <xf numFmtId="0" fontId="19" fillId="0" borderId="20" xfId="15" applyFont="1" applyBorder="1" applyAlignment="1"/>
    <xf numFmtId="166" fontId="24" fillId="0" borderId="25" xfId="15" applyNumberFormat="1" applyFont="1" applyBorder="1" applyAlignment="1">
      <alignment horizontal="left"/>
    </xf>
    <xf numFmtId="0" fontId="1" fillId="0" borderId="25" xfId="15" applyBorder="1"/>
    <xf numFmtId="0" fontId="16" fillId="0" borderId="20" xfId="15" applyFont="1" applyBorder="1" applyAlignment="1">
      <alignment horizontal="center"/>
    </xf>
    <xf numFmtId="0" fontId="1" fillId="0" borderId="20" xfId="15" applyBorder="1" applyAlignment="1"/>
    <xf numFmtId="166" fontId="16" fillId="0" borderId="25" xfId="15" applyNumberFormat="1" applyFont="1" applyBorder="1"/>
    <xf numFmtId="0" fontId="1" fillId="0" borderId="42" xfId="15" applyBorder="1" applyAlignment="1">
      <alignment horizontal="center"/>
    </xf>
    <xf numFmtId="0" fontId="1" fillId="0" borderId="55" xfId="15" applyBorder="1" applyAlignment="1">
      <alignment horizontal="center"/>
    </xf>
    <xf numFmtId="0" fontId="16" fillId="0" borderId="45" xfId="15" applyFont="1" applyBorder="1" applyAlignment="1"/>
    <xf numFmtId="0" fontId="16" fillId="0" borderId="46" xfId="15" applyFont="1" applyBorder="1" applyAlignment="1"/>
    <xf numFmtId="0" fontId="16" fillId="0" borderId="16" xfId="15" applyFont="1" applyBorder="1" applyAlignment="1">
      <alignment horizontal="right"/>
    </xf>
    <xf numFmtId="0" fontId="1" fillId="0" borderId="0" xfId="15" applyBorder="1" applyAlignment="1">
      <alignment horizontal="center"/>
    </xf>
    <xf numFmtId="9" fontId="16" fillId="0" borderId="15" xfId="15" applyNumberFormat="1" applyFont="1" applyBorder="1" applyAlignment="1">
      <alignment horizontal="left"/>
    </xf>
    <xf numFmtId="0" fontId="23" fillId="0" borderId="15" xfId="15" applyFont="1" applyBorder="1" applyAlignment="1">
      <alignment horizontal="center"/>
    </xf>
    <xf numFmtId="9" fontId="16" fillId="0" borderId="16" xfId="15" applyNumberFormat="1" applyFont="1" applyBorder="1" applyAlignment="1">
      <alignment horizontal="left"/>
    </xf>
    <xf numFmtId="0" fontId="16" fillId="0" borderId="47" xfId="15" applyFont="1" applyBorder="1" applyAlignment="1">
      <alignment horizontal="left"/>
    </xf>
    <xf numFmtId="0" fontId="16" fillId="0" borderId="48" xfId="15" applyFont="1" applyBorder="1" applyAlignment="1">
      <alignment horizontal="left"/>
    </xf>
    <xf numFmtId="0" fontId="16" fillId="0" borderId="43" xfId="15" applyFont="1" applyBorder="1" applyAlignment="1">
      <alignment horizontal="left"/>
    </xf>
    <xf numFmtId="0" fontId="16" fillId="0" borderId="44" xfId="15" applyFont="1" applyBorder="1" applyAlignment="1">
      <alignment horizontal="left"/>
    </xf>
    <xf numFmtId="0" fontId="1" fillId="0" borderId="15" xfId="15" applyBorder="1" applyAlignment="1"/>
    <xf numFmtId="166" fontId="24" fillId="0" borderId="28" xfId="15" applyNumberFormat="1" applyFont="1" applyBorder="1" applyAlignment="1">
      <alignment horizontal="left"/>
    </xf>
    <xf numFmtId="0" fontId="1" fillId="0" borderId="21" xfId="15" applyBorder="1" applyAlignment="1">
      <alignment horizontal="center"/>
    </xf>
    <xf numFmtId="0" fontId="16" fillId="0" borderId="56" xfId="15" applyFont="1" applyBorder="1" applyAlignment="1"/>
    <xf numFmtId="0" fontId="16" fillId="0" borderId="5" xfId="15" applyFont="1" applyBorder="1" applyAlignment="1">
      <alignment horizontal="left"/>
    </xf>
    <xf numFmtId="0" fontId="16" fillId="0" borderId="6" xfId="15" applyFont="1" applyBorder="1" applyAlignment="1">
      <alignment horizontal="left"/>
    </xf>
    <xf numFmtId="3" fontId="16" fillId="0" borderId="5" xfId="15" applyNumberFormat="1" applyFont="1" applyBorder="1" applyAlignment="1">
      <alignment horizontal="center"/>
    </xf>
    <xf numFmtId="4" fontId="16" fillId="0" borderId="5" xfId="15" applyNumberFormat="1" applyFont="1" applyBorder="1" applyAlignment="1">
      <alignment horizontal="left"/>
    </xf>
    <xf numFmtId="0" fontId="16" fillId="0" borderId="5" xfId="15" applyFont="1" applyBorder="1" applyAlignment="1"/>
    <xf numFmtId="166" fontId="16" fillId="0" borderId="21" xfId="15" applyNumberFormat="1" applyFont="1" applyBorder="1" applyAlignment="1">
      <alignment horizontal="left"/>
    </xf>
    <xf numFmtId="0" fontId="1" fillId="0" borderId="57" xfId="15" applyBorder="1" applyAlignment="1">
      <alignment horizontal="center"/>
    </xf>
    <xf numFmtId="0" fontId="16" fillId="0" borderId="58" xfId="15" applyFont="1" applyBorder="1" applyAlignment="1"/>
    <xf numFmtId="0" fontId="16" fillId="0" borderId="1" xfId="15" applyFont="1" applyBorder="1" applyAlignment="1">
      <alignment horizontal="left"/>
    </xf>
    <xf numFmtId="0" fontId="16" fillId="0" borderId="59" xfId="15" applyFont="1" applyBorder="1" applyAlignment="1">
      <alignment horizontal="left"/>
    </xf>
    <xf numFmtId="3" fontId="16" fillId="0" borderId="1" xfId="15" applyNumberFormat="1" applyFont="1" applyBorder="1" applyAlignment="1">
      <alignment horizontal="center"/>
    </xf>
    <xf numFmtId="4" fontId="16" fillId="0" borderId="1" xfId="15" applyNumberFormat="1" applyFont="1" applyBorder="1" applyAlignment="1">
      <alignment horizontal="left"/>
    </xf>
    <xf numFmtId="0" fontId="16" fillId="0" borderId="1" xfId="15" applyFont="1" applyBorder="1" applyAlignment="1"/>
    <xf numFmtId="166" fontId="16" fillId="0" borderId="57" xfId="15" applyNumberFormat="1" applyFont="1" applyBorder="1" applyAlignment="1">
      <alignment horizontal="left"/>
    </xf>
    <xf numFmtId="0" fontId="26" fillId="0" borderId="0" xfId="15" applyFont="1"/>
    <xf numFmtId="0" fontId="27" fillId="0" borderId="0" xfId="15" applyFont="1"/>
    <xf numFmtId="0" fontId="27" fillId="0" borderId="10" xfId="16" applyFont="1" applyFill="1" applyBorder="1" applyAlignment="1">
      <alignment horizontal="center" vertical="center" wrapText="1"/>
    </xf>
    <xf numFmtId="0" fontId="28" fillId="3" borderId="0" xfId="16" applyFont="1" applyFill="1" applyAlignment="1">
      <alignment vertical="center" wrapText="1"/>
    </xf>
    <xf numFmtId="0" fontId="29" fillId="3" borderId="0" xfId="16" applyFont="1" applyFill="1" applyAlignment="1">
      <alignment vertical="center"/>
    </xf>
    <xf numFmtId="0" fontId="29" fillId="0" borderId="0" xfId="16" applyFont="1" applyAlignment="1">
      <alignment vertical="center"/>
    </xf>
    <xf numFmtId="0" fontId="25" fillId="0" borderId="10" xfId="2" applyFont="1" applyFill="1" applyBorder="1" applyAlignment="1">
      <alignment horizontal="center" vertical="top" wrapText="1"/>
    </xf>
    <xf numFmtId="0" fontId="25" fillId="0" borderId="10" xfId="2" applyFont="1" applyFill="1" applyBorder="1" applyAlignment="1">
      <alignment horizontal="center" vertical="center" wrapText="1"/>
    </xf>
    <xf numFmtId="2" fontId="25" fillId="0" borderId="10" xfId="2" applyNumberFormat="1" applyFont="1" applyFill="1" applyBorder="1" applyAlignment="1">
      <alignment horizontal="center" vertical="center" wrapText="1"/>
    </xf>
    <xf numFmtId="4" fontId="25" fillId="0" borderId="10" xfId="2" applyNumberFormat="1" applyFont="1" applyFill="1" applyBorder="1" applyAlignment="1">
      <alignment horizontal="center" vertical="center" wrapText="1"/>
    </xf>
    <xf numFmtId="0" fontId="32" fillId="3" borderId="0" xfId="16" applyFont="1" applyFill="1" applyAlignment="1">
      <alignment wrapText="1"/>
    </xf>
    <xf numFmtId="0" fontId="29" fillId="3" borderId="0" xfId="16" applyFont="1" applyFill="1"/>
    <xf numFmtId="0" fontId="29" fillId="0" borderId="0" xfId="16" applyFont="1"/>
    <xf numFmtId="0" fontId="25" fillId="0" borderId="17" xfId="2" applyFont="1" applyFill="1" applyBorder="1" applyAlignment="1">
      <alignment horizontal="center" vertical="top" wrapText="1"/>
    </xf>
    <xf numFmtId="0" fontId="28" fillId="3" borderId="0" xfId="16" applyFont="1" applyFill="1" applyAlignment="1">
      <alignment wrapText="1"/>
    </xf>
    <xf numFmtId="0" fontId="25" fillId="0" borderId="17" xfId="2" applyFont="1" applyFill="1" applyBorder="1" applyAlignment="1">
      <alignment vertical="top" wrapText="1"/>
    </xf>
    <xf numFmtId="0" fontId="34" fillId="3" borderId="0" xfId="16" applyFont="1" applyFill="1" applyAlignment="1">
      <alignment wrapText="1"/>
    </xf>
    <xf numFmtId="0" fontId="34" fillId="3" borderId="0" xfId="16" applyFont="1" applyFill="1"/>
    <xf numFmtId="0" fontId="34" fillId="0" borderId="0" xfId="16" applyFont="1"/>
    <xf numFmtId="0" fontId="25" fillId="0" borderId="11" xfId="2" applyFont="1" applyFill="1" applyBorder="1" applyAlignment="1">
      <alignment vertical="top" wrapText="1"/>
    </xf>
    <xf numFmtId="0" fontId="25" fillId="0" borderId="10" xfId="2" applyFont="1" applyFill="1" applyBorder="1" applyAlignment="1">
      <alignment horizontal="center" vertical="top"/>
    </xf>
    <xf numFmtId="0" fontId="25" fillId="0" borderId="10" xfId="2" applyFont="1" applyFill="1" applyBorder="1" applyAlignment="1">
      <alignment horizontal="left" vertical="top" wrapText="1"/>
    </xf>
    <xf numFmtId="2" fontId="25" fillId="0" borderId="10" xfId="2" applyNumberFormat="1" applyFont="1" applyFill="1" applyBorder="1" applyAlignment="1">
      <alignment horizontal="center" vertical="center"/>
    </xf>
    <xf numFmtId="0" fontId="25" fillId="0" borderId="10" xfId="2" applyFont="1" applyFill="1" applyBorder="1" applyAlignment="1">
      <alignment horizontal="center" vertical="center"/>
    </xf>
    <xf numFmtId="4" fontId="25" fillId="0" borderId="10" xfId="2" applyNumberFormat="1" applyFont="1" applyFill="1" applyBorder="1" applyAlignment="1">
      <alignment horizontal="center" vertical="center"/>
    </xf>
    <xf numFmtId="2" fontId="28" fillId="3" borderId="0" xfId="16" applyNumberFormat="1" applyFont="1" applyFill="1" applyAlignment="1">
      <alignment wrapText="1"/>
    </xf>
    <xf numFmtId="0" fontId="25" fillId="0" borderId="10" xfId="2" applyFont="1" applyBorder="1" applyAlignment="1">
      <alignment horizontal="left" vertical="top" wrapText="1"/>
    </xf>
    <xf numFmtId="0" fontId="25" fillId="0" borderId="10" xfId="2" applyFont="1" applyBorder="1" applyAlignment="1">
      <alignment horizontal="center" vertical="center" wrapText="1"/>
    </xf>
    <xf numFmtId="2" fontId="25" fillId="0" borderId="10" xfId="2" applyNumberFormat="1" applyFont="1" applyBorder="1" applyAlignment="1">
      <alignment horizontal="center" vertical="center"/>
    </xf>
    <xf numFmtId="0" fontId="25" fillId="0" borderId="10" xfId="2" applyFont="1" applyBorder="1" applyAlignment="1">
      <alignment horizontal="center" vertical="center"/>
    </xf>
    <xf numFmtId="4" fontId="25" fillId="0" borderId="10" xfId="2" applyNumberFormat="1" applyFont="1" applyBorder="1" applyAlignment="1">
      <alignment horizontal="center" vertical="center"/>
    </xf>
    <xf numFmtId="4" fontId="33" fillId="0" borderId="10" xfId="2" applyNumberFormat="1" applyFont="1" applyFill="1" applyBorder="1" applyAlignment="1">
      <alignment horizontal="center" vertical="center"/>
    </xf>
    <xf numFmtId="4" fontId="29" fillId="0" borderId="0" xfId="16" applyNumberFormat="1" applyFont="1"/>
    <xf numFmtId="0" fontId="25" fillId="0" borderId="10" xfId="2" applyFont="1" applyBorder="1" applyAlignment="1">
      <alignment horizontal="center" vertical="top"/>
    </xf>
    <xf numFmtId="2" fontId="34" fillId="3" borderId="0" xfId="16" applyNumberFormat="1" applyFont="1" applyFill="1" applyAlignment="1">
      <alignment wrapText="1"/>
    </xf>
    <xf numFmtId="0" fontId="34" fillId="3" borderId="0" xfId="16" applyFont="1" applyFill="1" applyAlignment="1">
      <alignment vertical="center" wrapText="1"/>
    </xf>
    <xf numFmtId="2" fontId="34" fillId="3" borderId="0" xfId="16" applyNumberFormat="1" applyFont="1" applyFill="1"/>
    <xf numFmtId="0" fontId="33" fillId="0" borderId="10" xfId="2" applyFont="1" applyFill="1" applyBorder="1" applyAlignment="1">
      <alignment horizontal="left" vertical="top" wrapText="1"/>
    </xf>
    <xf numFmtId="2" fontId="34" fillId="0" borderId="0" xfId="16" applyNumberFormat="1" applyFont="1" applyFill="1" applyAlignment="1">
      <alignment wrapText="1"/>
    </xf>
    <xf numFmtId="4" fontId="34" fillId="0" borderId="0" xfId="16" applyNumberFormat="1" applyFont="1" applyFill="1"/>
    <xf numFmtId="0" fontId="34" fillId="0" borderId="0" xfId="16" applyFont="1" applyFill="1"/>
    <xf numFmtId="0" fontId="25" fillId="0" borderId="10" xfId="16" applyFont="1" applyBorder="1" applyAlignment="1">
      <alignment horizontal="center" vertical="top"/>
    </xf>
    <xf numFmtId="0" fontId="33" fillId="0" borderId="10" xfId="2" applyFont="1" applyFill="1" applyBorder="1" applyAlignment="1">
      <alignment horizontal="center" vertical="center" wrapText="1"/>
    </xf>
    <xf numFmtId="0" fontId="33" fillId="0" borderId="10" xfId="2" applyFont="1" applyFill="1" applyBorder="1" applyAlignment="1">
      <alignment vertical="center" wrapText="1"/>
    </xf>
    <xf numFmtId="2" fontId="33" fillId="0" borderId="10" xfId="2" applyNumberFormat="1" applyFont="1" applyFill="1" applyBorder="1" applyAlignment="1">
      <alignment horizontal="center" vertical="center" wrapText="1"/>
    </xf>
    <xf numFmtId="4" fontId="34" fillId="0" borderId="0" xfId="16" applyNumberFormat="1" applyFont="1"/>
    <xf numFmtId="0" fontId="25" fillId="3" borderId="18" xfId="2" applyFont="1" applyFill="1" applyBorder="1" applyAlignment="1">
      <alignment horizontal="center" vertical="top" wrapText="1"/>
    </xf>
    <xf numFmtId="0" fontId="34" fillId="0" borderId="0" xfId="16" applyFont="1" applyFill="1" applyAlignment="1">
      <alignment wrapText="1"/>
    </xf>
    <xf numFmtId="0" fontId="25" fillId="3" borderId="10" xfId="2" applyFont="1" applyFill="1" applyBorder="1" applyAlignment="1">
      <alignment horizontal="center" vertical="top" wrapText="1"/>
    </xf>
    <xf numFmtId="4" fontId="33" fillId="0" borderId="10" xfId="2" applyNumberFormat="1" applyFont="1" applyFill="1" applyBorder="1" applyAlignment="1">
      <alignment horizontal="center" vertical="center" wrapText="1"/>
    </xf>
    <xf numFmtId="0" fontId="33" fillId="0" borderId="10" xfId="16" applyFont="1" applyBorder="1" applyAlignment="1">
      <alignment horizontal="left" vertical="top" wrapText="1"/>
    </xf>
    <xf numFmtId="0" fontId="25" fillId="0" borderId="10" xfId="16" applyFont="1" applyBorder="1" applyAlignment="1">
      <alignment horizontal="center" vertical="center" wrapText="1"/>
    </xf>
    <xf numFmtId="0" fontId="25" fillId="0" borderId="10" xfId="16" applyFont="1" applyBorder="1" applyAlignment="1">
      <alignment horizontal="left" vertical="top" wrapText="1"/>
    </xf>
    <xf numFmtId="2" fontId="25" fillId="0" borderId="10" xfId="16" applyNumberFormat="1" applyFont="1" applyBorder="1" applyAlignment="1">
      <alignment horizontal="center" vertical="center"/>
    </xf>
    <xf numFmtId="0" fontId="25" fillId="0" borderId="10" xfId="16" applyFont="1" applyBorder="1" applyAlignment="1">
      <alignment horizontal="center" vertical="center"/>
    </xf>
    <xf numFmtId="4" fontId="33" fillId="0" borderId="10" xfId="16" applyNumberFormat="1" applyFont="1" applyFill="1" applyBorder="1" applyAlignment="1">
      <alignment horizontal="center" vertical="center"/>
    </xf>
    <xf numFmtId="4" fontId="25" fillId="0" borderId="10" xfId="16" applyNumberFormat="1" applyFont="1" applyFill="1" applyBorder="1" applyAlignment="1">
      <alignment horizontal="center" vertical="center"/>
    </xf>
    <xf numFmtId="0" fontId="25" fillId="0" borderId="0" xfId="16" applyFont="1" applyAlignment="1">
      <alignment horizontal="center" vertical="top"/>
    </xf>
    <xf numFmtId="0" fontId="35" fillId="0" borderId="0" xfId="15" applyFont="1" applyBorder="1"/>
    <xf numFmtId="0" fontId="14" fillId="0" borderId="0" xfId="15" applyFont="1" applyBorder="1" applyAlignment="1"/>
    <xf numFmtId="0" fontId="36" fillId="0" borderId="0" xfId="15" applyFont="1" applyBorder="1"/>
    <xf numFmtId="0" fontId="14" fillId="0" borderId="0" xfId="15" applyFont="1"/>
    <xf numFmtId="0" fontId="27" fillId="0" borderId="0" xfId="15" applyFont="1" applyBorder="1"/>
    <xf numFmtId="0" fontId="27" fillId="0" borderId="0" xfId="16" applyFont="1" applyAlignment="1">
      <alignment horizontal="center" vertical="top"/>
    </xf>
    <xf numFmtId="0" fontId="27" fillId="0" borderId="0" xfId="16" applyFont="1" applyAlignment="1">
      <alignment horizontal="left" vertical="top" wrapText="1"/>
    </xf>
    <xf numFmtId="0" fontId="27" fillId="0" borderId="0" xfId="16" applyFont="1" applyAlignment="1">
      <alignment horizontal="center" vertical="center" wrapText="1"/>
    </xf>
    <xf numFmtId="2" fontId="27" fillId="0" borderId="0" xfId="16" applyNumberFormat="1" applyFont="1" applyAlignment="1">
      <alignment horizontal="center" vertical="center"/>
    </xf>
    <xf numFmtId="0" fontId="27" fillId="0" borderId="0" xfId="16" applyFont="1" applyAlignment="1">
      <alignment horizontal="center" vertical="center"/>
    </xf>
    <xf numFmtId="4" fontId="27" fillId="0" borderId="0" xfId="16" applyNumberFormat="1" applyFont="1" applyFill="1" applyAlignment="1">
      <alignment horizontal="center" vertical="center"/>
    </xf>
    <xf numFmtId="0" fontId="15" fillId="0" borderId="0" xfId="15" applyFont="1" applyAlignment="1"/>
    <xf numFmtId="0" fontId="1" fillId="0" borderId="0" xfId="15" applyAlignment="1"/>
    <xf numFmtId="0" fontId="18" fillId="0" borderId="0" xfId="15" applyFont="1" applyAlignment="1">
      <alignment vertical="top" wrapText="1"/>
    </xf>
    <xf numFmtId="0" fontId="16" fillId="0" borderId="0" xfId="15" applyFont="1" applyAlignment="1">
      <alignment horizontal="left" vertical="top" wrapText="1"/>
    </xf>
    <xf numFmtId="0" fontId="18" fillId="0" borderId="0" xfId="15" applyFont="1" applyAlignment="1">
      <alignment horizontal="left" vertical="top" wrapText="1"/>
    </xf>
    <xf numFmtId="0" fontId="37" fillId="0" borderId="0" xfId="15" applyFont="1" applyAlignment="1">
      <alignment vertical="top"/>
    </xf>
    <xf numFmtId="0" fontId="18" fillId="0" borderId="1" xfId="15" applyFont="1" applyBorder="1" applyAlignment="1">
      <alignment vertical="top" wrapText="1"/>
    </xf>
    <xf numFmtId="0" fontId="25" fillId="0" borderId="10" xfId="15" applyFont="1" applyBorder="1" applyAlignment="1">
      <alignment horizontal="center" vertical="center" wrapText="1"/>
    </xf>
    <xf numFmtId="0" fontId="25" fillId="0" borderId="19" xfId="15" applyFont="1" applyBorder="1" applyAlignment="1">
      <alignment horizontal="center" vertical="center" wrapText="1"/>
    </xf>
    <xf numFmtId="2" fontId="25" fillId="0" borderId="10" xfId="15" applyNumberFormat="1" applyFont="1" applyBorder="1" applyAlignment="1">
      <alignment horizontal="center" vertical="center"/>
    </xf>
    <xf numFmtId="1" fontId="25" fillId="0" borderId="10" xfId="15" applyNumberFormat="1" applyFont="1" applyBorder="1" applyAlignment="1">
      <alignment horizontal="center" vertical="center" textRotation="90"/>
    </xf>
    <xf numFmtId="4" fontId="25" fillId="0" borderId="10" xfId="15" applyNumberFormat="1" applyFont="1" applyFill="1" applyBorder="1" applyAlignment="1">
      <alignment horizontal="center" vertical="center" wrapText="1"/>
    </xf>
    <xf numFmtId="0" fontId="28" fillId="0" borderId="0" xfId="15" applyFont="1" applyAlignment="1">
      <alignment horizontal="center" wrapText="1"/>
    </xf>
    <xf numFmtId="0" fontId="34" fillId="0" borderId="0" xfId="15" applyFont="1"/>
    <xf numFmtId="0" fontId="25" fillId="0" borderId="10" xfId="15" applyFont="1" applyBorder="1" applyAlignment="1">
      <alignment horizontal="center" vertical="top"/>
    </xf>
    <xf numFmtId="0" fontId="25" fillId="0" borderId="10" xfId="15" applyFont="1" applyBorder="1" applyAlignment="1">
      <alignment horizontal="center" vertical="top" wrapText="1"/>
    </xf>
    <xf numFmtId="1" fontId="25" fillId="0" borderId="10" xfId="15" applyNumberFormat="1" applyFont="1" applyBorder="1" applyAlignment="1">
      <alignment horizontal="center" vertical="center"/>
    </xf>
    <xf numFmtId="3" fontId="25" fillId="0" borderId="10" xfId="15" applyNumberFormat="1" applyFont="1" applyFill="1" applyBorder="1" applyAlignment="1">
      <alignment horizontal="center" vertical="center"/>
    </xf>
    <xf numFmtId="0" fontId="34" fillId="0" borderId="0" xfId="15" applyFont="1" applyBorder="1" applyAlignment="1">
      <alignment horizontal="center" wrapText="1"/>
    </xf>
    <xf numFmtId="2" fontId="34" fillId="0" borderId="0" xfId="15" applyNumberFormat="1" applyFont="1"/>
    <xf numFmtId="0" fontId="38" fillId="0" borderId="18" xfId="15" applyFont="1" applyFill="1" applyBorder="1" applyAlignment="1">
      <alignment vertical="top" wrapText="1"/>
    </xf>
    <xf numFmtId="4" fontId="38" fillId="0" borderId="20" xfId="15" applyNumberFormat="1" applyFont="1" applyFill="1" applyBorder="1" applyAlignment="1">
      <alignment vertical="top" wrapText="1"/>
    </xf>
    <xf numFmtId="0" fontId="38" fillId="0" borderId="20" xfId="15" applyFont="1" applyFill="1" applyBorder="1" applyAlignment="1">
      <alignment vertical="top" wrapText="1"/>
    </xf>
    <xf numFmtId="0" fontId="38" fillId="0" borderId="19" xfId="15" applyFont="1" applyFill="1" applyBorder="1" applyAlignment="1">
      <alignment vertical="top" wrapText="1"/>
    </xf>
    <xf numFmtId="0" fontId="39" fillId="0" borderId="0" xfId="15" applyFont="1" applyBorder="1" applyAlignment="1">
      <alignment horizontal="center" wrapText="1"/>
    </xf>
    <xf numFmtId="2" fontId="40" fillId="0" borderId="0" xfId="15" applyNumberFormat="1" applyFont="1"/>
    <xf numFmtId="0" fontId="40" fillId="0" borderId="0" xfId="15" applyFont="1"/>
    <xf numFmtId="0" fontId="28" fillId="0" borderId="0" xfId="15" applyFont="1" applyBorder="1" applyAlignment="1">
      <alignment horizontal="center" wrapText="1"/>
    </xf>
    <xf numFmtId="0" fontId="25" fillId="0" borderId="19" xfId="15" applyFont="1" applyFill="1" applyBorder="1" applyAlignment="1">
      <alignment vertical="top" wrapText="1"/>
    </xf>
    <xf numFmtId="0" fontId="25" fillId="0" borderId="18" xfId="15" applyFont="1" applyFill="1" applyBorder="1" applyAlignment="1">
      <alignment horizontal="center" vertical="top" wrapText="1"/>
    </xf>
    <xf numFmtId="0" fontId="34" fillId="0" borderId="0" xfId="15" applyFont="1" applyAlignment="1">
      <alignment horizontal="center" wrapText="1"/>
    </xf>
    <xf numFmtId="0" fontId="25" fillId="0" borderId="10" xfId="15" applyFont="1" applyBorder="1" applyAlignment="1">
      <alignment horizontal="left" vertical="top" wrapText="1"/>
    </xf>
    <xf numFmtId="2" fontId="25" fillId="0" borderId="10" xfId="15" applyNumberFormat="1" applyFont="1" applyBorder="1" applyAlignment="1">
      <alignment horizontal="center" vertical="center" wrapText="1"/>
    </xf>
    <xf numFmtId="1" fontId="25" fillId="0" borderId="10" xfId="15" applyNumberFormat="1" applyFont="1" applyBorder="1" applyAlignment="1">
      <alignment horizontal="center" vertical="center" wrapText="1"/>
    </xf>
    <xf numFmtId="2" fontId="25" fillId="0" borderId="10" xfId="15" applyNumberFormat="1" applyFont="1" applyFill="1" applyBorder="1" applyAlignment="1">
      <alignment horizontal="center" vertical="center" wrapText="1"/>
    </xf>
    <xf numFmtId="1" fontId="25" fillId="0" borderId="10" xfId="15" applyNumberFormat="1" applyFont="1" applyFill="1" applyBorder="1" applyAlignment="1">
      <alignment horizontal="center" vertical="center" wrapText="1"/>
    </xf>
    <xf numFmtId="0" fontId="33" fillId="0" borderId="10" xfId="15" applyFont="1" applyBorder="1" applyAlignment="1">
      <alignment horizontal="left" vertical="top" wrapText="1"/>
    </xf>
    <xf numFmtId="4" fontId="33" fillId="0" borderId="10" xfId="15" applyNumberFormat="1" applyFont="1" applyFill="1" applyBorder="1" applyAlignment="1">
      <alignment horizontal="center" vertical="center" wrapText="1"/>
    </xf>
    <xf numFmtId="0" fontId="33" fillId="0" borderId="10" xfId="16" applyFont="1" applyBorder="1" applyAlignment="1">
      <alignment horizontal="center" vertical="top" wrapText="1"/>
    </xf>
    <xf numFmtId="0" fontId="28" fillId="0" borderId="0" xfId="16" applyFont="1" applyBorder="1" applyAlignment="1">
      <alignment horizontal="center" wrapText="1"/>
    </xf>
    <xf numFmtId="2" fontId="34" fillId="0" borderId="0" xfId="16" applyNumberFormat="1" applyFont="1"/>
    <xf numFmtId="0" fontId="33" fillId="0" borderId="10" xfId="16" applyFont="1" applyFill="1" applyBorder="1" applyAlignment="1">
      <alignment horizontal="center" vertical="top" wrapText="1"/>
    </xf>
    <xf numFmtId="0" fontId="25" fillId="0" borderId="10" xfId="16" applyFont="1" applyBorder="1" applyAlignment="1">
      <alignment horizontal="center" vertical="top" wrapText="1"/>
    </xf>
    <xf numFmtId="0" fontId="25" fillId="0" borderId="10" xfId="16" applyFont="1" applyFill="1" applyBorder="1" applyAlignment="1">
      <alignment horizontal="left" vertical="top" wrapText="1"/>
    </xf>
    <xf numFmtId="2" fontId="25" fillId="0" borderId="10" xfId="16" applyNumberFormat="1" applyFont="1" applyFill="1" applyBorder="1" applyAlignment="1">
      <alignment horizontal="center" vertical="center" wrapText="1"/>
    </xf>
    <xf numFmtId="1" fontId="25" fillId="0" borderId="10" xfId="16" applyNumberFormat="1" applyFont="1" applyFill="1" applyBorder="1" applyAlignment="1">
      <alignment horizontal="center" vertical="center"/>
    </xf>
    <xf numFmtId="4" fontId="25" fillId="0" borderId="10" xfId="16" applyNumberFormat="1" applyFont="1" applyFill="1" applyBorder="1" applyAlignment="1">
      <alignment horizontal="center" vertical="center" wrapText="1"/>
    </xf>
    <xf numFmtId="0" fontId="33" fillId="0" borderId="10" xfId="16" applyFont="1" applyFill="1" applyBorder="1" applyAlignment="1">
      <alignment horizontal="left" vertical="top" wrapText="1"/>
    </xf>
    <xf numFmtId="1" fontId="25" fillId="0" borderId="10" xfId="16" applyNumberFormat="1" applyFont="1" applyFill="1" applyBorder="1" applyAlignment="1">
      <alignment horizontal="center" vertical="center" wrapText="1"/>
    </xf>
    <xf numFmtId="4" fontId="33" fillId="0" borderId="10" xfId="16" applyNumberFormat="1" applyFont="1" applyFill="1" applyBorder="1" applyAlignment="1">
      <alignment horizontal="center" vertical="center" wrapText="1"/>
    </xf>
    <xf numFmtId="0" fontId="34" fillId="0" borderId="0" xfId="16" applyFont="1" applyBorder="1" applyAlignment="1">
      <alignment horizontal="center" wrapText="1"/>
    </xf>
    <xf numFmtId="0" fontId="25" fillId="0" borderId="10" xfId="16" applyFont="1" applyFill="1" applyBorder="1" applyAlignment="1">
      <alignment horizontal="center" vertical="top" wrapText="1"/>
    </xf>
    <xf numFmtId="0" fontId="34" fillId="0" borderId="0" xfId="16" applyFont="1" applyAlignment="1">
      <alignment horizontal="center" wrapText="1"/>
    </xf>
    <xf numFmtId="3" fontId="25" fillId="0" borderId="10" xfId="16" applyNumberFormat="1" applyFont="1" applyBorder="1" applyAlignment="1">
      <alignment horizontal="center" vertical="center"/>
    </xf>
    <xf numFmtId="0" fontId="25" fillId="0" borderId="10" xfId="16" applyFont="1" applyBorder="1" applyAlignment="1">
      <alignment horizontal="left" vertical="top"/>
    </xf>
    <xf numFmtId="1" fontId="25" fillId="0" borderId="10" xfId="16" applyNumberFormat="1" applyFont="1" applyBorder="1" applyAlignment="1">
      <alignment horizontal="center" vertical="center"/>
    </xf>
    <xf numFmtId="2" fontId="25" fillId="0" borderId="10" xfId="16" applyNumberFormat="1" applyFont="1" applyBorder="1" applyAlignment="1">
      <alignment horizontal="center" vertical="center" wrapText="1"/>
    </xf>
    <xf numFmtId="1" fontId="25" fillId="0" borderId="10" xfId="16" applyNumberFormat="1" applyFont="1" applyBorder="1" applyAlignment="1">
      <alignment horizontal="center" vertical="center" wrapText="1"/>
    </xf>
    <xf numFmtId="0" fontId="28" fillId="0" borderId="0" xfId="16" applyFont="1" applyAlignment="1">
      <alignment horizontal="center" wrapText="1"/>
    </xf>
    <xf numFmtId="1" fontId="27" fillId="0" borderId="10" xfId="16" applyNumberFormat="1" applyFont="1" applyBorder="1" applyAlignment="1">
      <alignment horizontal="center" vertical="center"/>
    </xf>
    <xf numFmtId="4" fontId="25" fillId="0" borderId="10" xfId="16" applyNumberFormat="1" applyFont="1" applyBorder="1" applyAlignment="1">
      <alignment horizontal="center" vertical="center"/>
    </xf>
    <xf numFmtId="4" fontId="33" fillId="0" borderId="10" xfId="16" applyNumberFormat="1" applyFont="1" applyBorder="1" applyAlignment="1">
      <alignment horizontal="center" vertical="center"/>
    </xf>
    <xf numFmtId="0" fontId="28" fillId="0" borderId="0" xfId="16" applyFont="1" applyFill="1" applyAlignment="1">
      <alignment horizontal="center" wrapText="1"/>
    </xf>
    <xf numFmtId="0" fontId="33" fillId="0" borderId="10" xfId="15" applyFont="1" applyBorder="1" applyAlignment="1">
      <alignment horizontal="center" vertical="top" wrapText="1"/>
    </xf>
    <xf numFmtId="0" fontId="28" fillId="0" borderId="0" xfId="15" applyFont="1" applyFill="1" applyAlignment="1">
      <alignment horizontal="center" wrapText="1"/>
    </xf>
    <xf numFmtId="0" fontId="34" fillId="0" borderId="0" xfId="15" applyFont="1" applyFill="1" applyAlignment="1">
      <alignment wrapText="1"/>
    </xf>
    <xf numFmtId="0" fontId="34" fillId="0" borderId="0" xfId="15" applyFont="1" applyFill="1"/>
    <xf numFmtId="4" fontId="28" fillId="0" borderId="0" xfId="16" applyNumberFormat="1" applyFont="1" applyAlignment="1">
      <alignment horizontal="center" wrapText="1"/>
    </xf>
    <xf numFmtId="4" fontId="18" fillId="0" borderId="10" xfId="16" applyNumberFormat="1" applyFont="1" applyFill="1" applyBorder="1" applyAlignment="1">
      <alignment horizontal="center" vertical="center"/>
    </xf>
    <xf numFmtId="0" fontId="25" fillId="0" borderId="10" xfId="15" applyFont="1" applyBorder="1" applyAlignment="1">
      <alignment horizontal="left" vertical="top"/>
    </xf>
    <xf numFmtId="4" fontId="33" fillId="0" borderId="10" xfId="15" applyNumberFormat="1" applyFont="1" applyFill="1" applyBorder="1" applyAlignment="1">
      <alignment horizontal="center" vertical="center"/>
    </xf>
    <xf numFmtId="4" fontId="34" fillId="0" borderId="0" xfId="15" applyNumberFormat="1" applyFont="1"/>
    <xf numFmtId="0" fontId="33" fillId="0" borderId="10" xfId="15" applyFont="1" applyBorder="1" applyAlignment="1">
      <alignment horizontal="left" vertical="top"/>
    </xf>
    <xf numFmtId="2" fontId="33" fillId="0" borderId="10" xfId="15" applyNumberFormat="1" applyFont="1" applyBorder="1" applyAlignment="1">
      <alignment horizontal="center" vertical="center"/>
    </xf>
    <xf numFmtId="0" fontId="25" fillId="0" borderId="0" xfId="15" applyFont="1" applyAlignment="1">
      <alignment horizontal="center" vertical="top"/>
    </xf>
    <xf numFmtId="0" fontId="25" fillId="0" borderId="0" xfId="15" applyFont="1" applyAlignment="1">
      <alignment horizontal="left" vertical="top" wrapText="1"/>
    </xf>
    <xf numFmtId="0" fontId="25" fillId="0" borderId="0" xfId="15" applyFont="1" applyAlignment="1">
      <alignment horizontal="left" vertical="top"/>
    </xf>
    <xf numFmtId="2" fontId="25" fillId="0" borderId="0" xfId="15" applyNumberFormat="1" applyFont="1" applyAlignment="1">
      <alignment horizontal="center" vertical="center"/>
    </xf>
    <xf numFmtId="1" fontId="25" fillId="0" borderId="0" xfId="15" applyNumberFormat="1" applyFont="1" applyAlignment="1">
      <alignment horizontal="center" vertical="center"/>
    </xf>
    <xf numFmtId="4" fontId="25" fillId="0" borderId="0" xfId="15" applyNumberFormat="1" applyFont="1" applyFill="1" applyAlignment="1">
      <alignment horizontal="center" vertical="center"/>
    </xf>
    <xf numFmtId="0" fontId="25" fillId="0" borderId="0" xfId="16" applyFont="1" applyAlignment="1">
      <alignment horizontal="left" vertical="top" wrapText="1"/>
    </xf>
    <xf numFmtId="0" fontId="25" fillId="0" borderId="0" xfId="16" applyFont="1" applyAlignment="1">
      <alignment horizontal="left" vertical="top"/>
    </xf>
    <xf numFmtId="2" fontId="25" fillId="0" borderId="0" xfId="16" applyNumberFormat="1" applyFont="1" applyAlignment="1">
      <alignment horizontal="center" vertical="center"/>
    </xf>
    <xf numFmtId="1" fontId="25" fillId="0" borderId="0" xfId="16" applyNumberFormat="1" applyFont="1" applyAlignment="1">
      <alignment horizontal="center" vertical="center"/>
    </xf>
    <xf numFmtId="4" fontId="25" fillId="0" borderId="0" xfId="16" applyNumberFormat="1" applyFont="1" applyFill="1" applyAlignment="1">
      <alignment horizontal="center" vertical="center"/>
    </xf>
    <xf numFmtId="0" fontId="27" fillId="0" borderId="10" xfId="15" applyFont="1" applyFill="1" applyBorder="1" applyAlignment="1">
      <alignment horizontal="center" vertical="top" wrapText="1"/>
    </xf>
    <xf numFmtId="0" fontId="28" fillId="3" borderId="0" xfId="15" applyFont="1" applyFill="1" applyAlignment="1">
      <alignment wrapText="1"/>
    </xf>
    <xf numFmtId="0" fontId="29" fillId="3" borderId="0" xfId="15" applyFont="1" applyFill="1"/>
    <xf numFmtId="0" fontId="29" fillId="0" borderId="0" xfId="15" applyFont="1"/>
    <xf numFmtId="0" fontId="32" fillId="3" borderId="0" xfId="15" applyFont="1" applyFill="1" applyAlignment="1">
      <alignment wrapText="1"/>
    </xf>
    <xf numFmtId="0" fontId="25" fillId="0" borderId="10" xfId="2" applyFont="1" applyFill="1" applyBorder="1" applyAlignment="1">
      <alignment horizontal="left" vertical="center" wrapText="1"/>
    </xf>
    <xf numFmtId="0" fontId="33" fillId="0" borderId="10" xfId="2" applyFont="1" applyFill="1" applyBorder="1" applyAlignment="1">
      <alignment horizontal="left" vertical="center" wrapText="1"/>
    </xf>
    <xf numFmtId="0" fontId="27" fillId="0" borderId="10" xfId="15" applyFont="1" applyBorder="1" applyAlignment="1">
      <alignment horizontal="center" vertical="top"/>
    </xf>
    <xf numFmtId="0" fontId="18" fillId="0" borderId="10" xfId="15" applyFont="1" applyBorder="1" applyAlignment="1">
      <alignment horizontal="left" vertical="top" wrapText="1"/>
    </xf>
    <xf numFmtId="0" fontId="27" fillId="0" borderId="10" xfId="15" applyFont="1" applyBorder="1" applyAlignment="1">
      <alignment horizontal="center" vertical="center" wrapText="1"/>
    </xf>
    <xf numFmtId="0" fontId="27" fillId="0" borderId="10" xfId="15" applyFont="1" applyBorder="1" applyAlignment="1">
      <alignment horizontal="left" vertical="top" wrapText="1"/>
    </xf>
    <xf numFmtId="2" fontId="27" fillId="0" borderId="10" xfId="15" applyNumberFormat="1" applyFont="1" applyBorder="1" applyAlignment="1">
      <alignment horizontal="center" vertical="center"/>
    </xf>
    <xf numFmtId="0" fontId="27" fillId="0" borderId="10" xfId="15" applyFont="1" applyBorder="1" applyAlignment="1">
      <alignment horizontal="center" vertical="center"/>
    </xf>
    <xf numFmtId="4" fontId="18" fillId="0" borderId="10" xfId="15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wrapText="1"/>
    </xf>
    <xf numFmtId="0" fontId="10" fillId="0" borderId="0" xfId="0" applyFont="1" applyAlignment="1">
      <alignment horizontal="left" wrapText="1"/>
    </xf>
    <xf numFmtId="0" fontId="6" fillId="0" borderId="0" xfId="0" applyFont="1"/>
    <xf numFmtId="0" fontId="10" fillId="0" borderId="0" xfId="0" applyFont="1" applyAlignment="1">
      <alignment wrapText="1"/>
    </xf>
    <xf numFmtId="0" fontId="6" fillId="0" borderId="8" xfId="0" applyFont="1" applyBorder="1" applyAlignment="1">
      <alignment horizontal="center" vertical="top" wrapText="1"/>
    </xf>
    <xf numFmtId="0" fontId="41" fillId="0" borderId="0" xfId="0" applyFont="1" applyAlignment="1">
      <alignment wrapText="1"/>
    </xf>
    <xf numFmtId="0" fontId="42" fillId="0" borderId="0" xfId="0" applyFont="1"/>
    <xf numFmtId="49" fontId="42" fillId="0" borderId="0" xfId="0" applyNumberFormat="1" applyFont="1"/>
    <xf numFmtId="0" fontId="44" fillId="0" borderId="0" xfId="0" applyFont="1"/>
    <xf numFmtId="0" fontId="45" fillId="0" borderId="0" xfId="0" applyFont="1"/>
    <xf numFmtId="49" fontId="41" fillId="0" borderId="0" xfId="0" applyNumberFormat="1" applyFont="1" applyAlignment="1">
      <alignment vertical="top" wrapText="1"/>
    </xf>
    <xf numFmtId="49" fontId="41" fillId="0" borderId="0" xfId="0" applyNumberFormat="1" applyFont="1" applyAlignment="1">
      <alignment horizontal="center" vertical="center" wrapText="1"/>
    </xf>
    <xf numFmtId="0" fontId="44" fillId="0" borderId="0" xfId="0" applyFont="1" applyAlignment="1">
      <alignment horizontal="right"/>
    </xf>
    <xf numFmtId="49" fontId="41" fillId="0" borderId="0" xfId="0" applyNumberFormat="1" applyFont="1" applyAlignment="1">
      <alignment wrapText="1"/>
    </xf>
    <xf numFmtId="4" fontId="5" fillId="0" borderId="1" xfId="0" applyNumberFormat="1" applyFont="1" applyBorder="1" applyAlignment="1">
      <alignment vertical="top" wrapText="1"/>
    </xf>
    <xf numFmtId="0" fontId="46" fillId="0" borderId="1" xfId="0" applyFont="1" applyBorder="1" applyAlignment="1"/>
    <xf numFmtId="0" fontId="43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2" fontId="16" fillId="0" borderId="50" xfId="15" applyNumberFormat="1" applyFont="1" applyBorder="1" applyAlignment="1">
      <alignment horizontal="left"/>
    </xf>
    <xf numFmtId="0" fontId="6" fillId="0" borderId="0" xfId="2" applyFont="1" applyAlignment="1">
      <alignment horizontal="center" vertical="center"/>
    </xf>
    <xf numFmtId="0" fontId="49" fillId="0" borderId="0" xfId="2" applyFont="1" applyAlignment="1">
      <alignment horizontal="center" vertical="center"/>
    </xf>
    <xf numFmtId="0" fontId="49" fillId="0" borderId="0" xfId="2" applyFont="1" applyAlignment="1">
      <alignment horizontal="center" vertical="center" wrapText="1"/>
    </xf>
    <xf numFmtId="167" fontId="49" fillId="0" borderId="0" xfId="2" applyNumberFormat="1" applyFont="1" applyAlignment="1">
      <alignment horizontal="right" vertical="center"/>
    </xf>
    <xf numFmtId="0" fontId="4" fillId="0" borderId="0" xfId="2" applyAlignment="1">
      <alignment horizontal="center" vertical="center"/>
    </xf>
    <xf numFmtId="0" fontId="6" fillId="2" borderId="10" xfId="2" applyFont="1" applyFill="1" applyBorder="1" applyAlignment="1">
      <alignment horizontal="center" vertical="center" wrapText="1"/>
    </xf>
    <xf numFmtId="0" fontId="49" fillId="2" borderId="10" xfId="2" applyFont="1" applyFill="1" applyBorder="1" applyAlignment="1">
      <alignment horizontal="center" vertical="center" wrapText="1"/>
    </xf>
    <xf numFmtId="167" fontId="49" fillId="2" borderId="10" xfId="2" applyNumberFormat="1" applyFont="1" applyFill="1" applyBorder="1" applyAlignment="1">
      <alignment horizontal="center" vertical="center" wrapText="1"/>
    </xf>
    <xf numFmtId="0" fontId="49" fillId="2" borderId="10" xfId="2" applyFont="1" applyFill="1" applyBorder="1" applyAlignment="1">
      <alignment horizontal="left" vertical="center" wrapText="1"/>
    </xf>
    <xf numFmtId="4" fontId="49" fillId="2" borderId="10" xfId="2" applyNumberFormat="1" applyFont="1" applyFill="1" applyBorder="1" applyAlignment="1">
      <alignment horizontal="center" vertical="center" wrapText="1"/>
    </xf>
    <xf numFmtId="3" fontId="49" fillId="2" borderId="10" xfId="2" applyNumberFormat="1" applyFont="1" applyFill="1" applyBorder="1" applyAlignment="1">
      <alignment horizontal="center" vertical="center" wrapText="1"/>
    </xf>
    <xf numFmtId="4" fontId="49" fillId="2" borderId="10" xfId="2" applyNumberFormat="1" applyFont="1" applyFill="1" applyBorder="1" applyAlignment="1">
      <alignment horizontal="right" vertical="center" wrapText="1"/>
    </xf>
    <xf numFmtId="4" fontId="51" fillId="2" borderId="10" xfId="2" applyNumberFormat="1" applyFont="1" applyFill="1" applyBorder="1" applyAlignment="1">
      <alignment horizontal="right" vertical="center" wrapText="1"/>
    </xf>
    <xf numFmtId="0" fontId="52" fillId="0" borderId="0" xfId="2" applyFont="1" applyAlignment="1">
      <alignment horizontal="center" vertical="center"/>
    </xf>
    <xf numFmtId="168" fontId="49" fillId="2" borderId="10" xfId="2" applyNumberFormat="1" applyFont="1" applyFill="1" applyBorder="1" applyAlignment="1">
      <alignment horizontal="center" vertical="center" wrapText="1"/>
    </xf>
    <xf numFmtId="167" fontId="5" fillId="2" borderId="10" xfId="2" applyNumberFormat="1" applyFont="1" applyFill="1" applyBorder="1" applyAlignment="1">
      <alignment horizontal="right" vertical="center"/>
    </xf>
    <xf numFmtId="167" fontId="4" fillId="0" borderId="0" xfId="2" applyNumberFormat="1" applyAlignment="1">
      <alignment horizontal="center" vertical="center"/>
    </xf>
    <xf numFmtId="167" fontId="5" fillId="0" borderId="10" xfId="12" applyNumberFormat="1" applyFont="1" applyBorder="1" applyAlignment="1">
      <alignment vertical="center"/>
    </xf>
    <xf numFmtId="0" fontId="49" fillId="0" borderId="0" xfId="12" applyFont="1" applyAlignment="1">
      <alignment vertical="center"/>
    </xf>
    <xf numFmtId="0" fontId="53" fillId="0" borderId="0" xfId="12" applyFont="1" applyAlignment="1">
      <alignment vertical="center"/>
    </xf>
    <xf numFmtId="0" fontId="4" fillId="0" borderId="0" xfId="13" applyAlignment="1">
      <alignment wrapText="1"/>
    </xf>
    <xf numFmtId="4" fontId="48" fillId="0" borderId="0" xfId="17" applyNumberFormat="1" applyAlignment="1">
      <alignment wrapText="1"/>
    </xf>
    <xf numFmtId="0" fontId="4" fillId="0" borderId="0" xfId="2" applyAlignment="1">
      <alignment horizontal="center" vertical="center"/>
    </xf>
    <xf numFmtId="0" fontId="4" fillId="0" borderId="10" xfId="2" applyBorder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49" fillId="0" borderId="10" xfId="2" applyFont="1" applyBorder="1" applyAlignment="1">
      <alignment horizontal="center" vertical="center" wrapText="1"/>
    </xf>
    <xf numFmtId="167" fontId="49" fillId="0" borderId="10" xfId="2" applyNumberFormat="1" applyFont="1" applyBorder="1" applyAlignment="1">
      <alignment horizontal="center" vertical="center" wrapText="1"/>
    </xf>
    <xf numFmtId="0" fontId="4" fillId="0" borderId="0" xfId="2" applyAlignment="1">
      <alignment horizontal="center" vertical="center" wrapText="1"/>
    </xf>
    <xf numFmtId="0" fontId="49" fillId="0" borderId="10" xfId="2" applyFont="1" applyBorder="1" applyAlignment="1">
      <alignment horizontal="center" vertical="center"/>
    </xf>
    <xf numFmtId="0" fontId="49" fillId="0" borderId="10" xfId="2" applyFont="1" applyBorder="1" applyAlignment="1">
      <alignment horizontal="left" vertical="center" wrapText="1"/>
    </xf>
    <xf numFmtId="4" fontId="49" fillId="0" borderId="10" xfId="2" applyNumberFormat="1" applyFont="1" applyBorder="1" applyAlignment="1">
      <alignment horizontal="center" vertical="center" wrapText="1"/>
    </xf>
    <xf numFmtId="0" fontId="51" fillId="0" borderId="10" xfId="2" applyFont="1" applyBorder="1" applyAlignment="1">
      <alignment horizontal="center" vertical="center" wrapText="1"/>
    </xf>
    <xf numFmtId="167" fontId="49" fillId="0" borderId="10" xfId="2" applyNumberFormat="1" applyFont="1" applyBorder="1" applyAlignment="1">
      <alignment horizontal="right" vertical="center"/>
    </xf>
    <xf numFmtId="167" fontId="5" fillId="0" borderId="10" xfId="2" applyNumberFormat="1" applyFont="1" applyBorder="1" applyAlignment="1">
      <alignment horizontal="right" vertical="center"/>
    </xf>
    <xf numFmtId="0" fontId="55" fillId="0" borderId="0" xfId="12" applyFont="1" applyAlignment="1">
      <alignment horizontal="right" vertical="center" wrapText="1"/>
    </xf>
    <xf numFmtId="0" fontId="6" fillId="0" borderId="0" xfId="12" applyFont="1" applyAlignment="1">
      <alignment vertical="center"/>
    </xf>
    <xf numFmtId="0" fontId="4" fillId="0" borderId="0" xfId="4" applyAlignment="1">
      <alignment wrapText="1"/>
    </xf>
    <xf numFmtId="4" fontId="48" fillId="0" borderId="0" xfId="18" applyNumberFormat="1" applyAlignment="1">
      <alignment wrapText="1"/>
    </xf>
    <xf numFmtId="4" fontId="4" fillId="0" borderId="0" xfId="2" applyNumberFormat="1" applyAlignment="1">
      <alignment horizontal="center" vertical="center"/>
    </xf>
    <xf numFmtId="0" fontId="6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45" fillId="0" borderId="0" xfId="0" applyFont="1" applyAlignment="1">
      <alignment horizontal="center" vertical="center"/>
    </xf>
    <xf numFmtId="49" fontId="6" fillId="0" borderId="0" xfId="0" applyNumberFormat="1" applyFont="1" applyAlignment="1">
      <alignment wrapText="1"/>
    </xf>
    <xf numFmtId="0" fontId="10" fillId="0" borderId="0" xfId="0" applyFont="1" applyAlignment="1">
      <alignment horizontal="left" wrapText="1"/>
    </xf>
    <xf numFmtId="0" fontId="6" fillId="0" borderId="0" xfId="0" applyFont="1"/>
    <xf numFmtId="0" fontId="42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43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7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2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0" xfId="15" applyAlignment="1">
      <alignment horizontal="center"/>
    </xf>
    <xf numFmtId="0" fontId="16" fillId="0" borderId="0" xfId="15" applyFont="1" applyAlignment="1">
      <alignment horizontal="center"/>
    </xf>
    <xf numFmtId="0" fontId="16" fillId="0" borderId="49" xfId="15" applyFont="1" applyBorder="1" applyAlignment="1">
      <alignment horizontal="left" wrapText="1"/>
    </xf>
    <xf numFmtId="0" fontId="16" fillId="0" borderId="50" xfId="15" applyFont="1" applyBorder="1" applyAlignment="1">
      <alignment horizontal="left" wrapText="1"/>
    </xf>
    <xf numFmtId="0" fontId="16" fillId="0" borderId="51" xfId="15" applyFont="1" applyBorder="1" applyAlignment="1">
      <alignment horizontal="left" wrapText="1"/>
    </xf>
    <xf numFmtId="0" fontId="16" fillId="0" borderId="49" xfId="15" applyFont="1" applyBorder="1" applyAlignment="1">
      <alignment horizontal="center"/>
    </xf>
    <xf numFmtId="0" fontId="16" fillId="0" borderId="50" xfId="15" applyFont="1" applyBorder="1" applyAlignment="1">
      <alignment horizontal="center"/>
    </xf>
    <xf numFmtId="0" fontId="19" fillId="0" borderId="50" xfId="15" applyFont="1" applyBorder="1" applyAlignment="1">
      <alignment horizontal="left"/>
    </xf>
    <xf numFmtId="0" fontId="19" fillId="0" borderId="51" xfId="15" applyFont="1" applyBorder="1" applyAlignment="1">
      <alignment horizontal="left"/>
    </xf>
    <xf numFmtId="0" fontId="16" fillId="0" borderId="40" xfId="15" applyFont="1" applyBorder="1" applyAlignment="1">
      <alignment horizontal="left"/>
    </xf>
    <xf numFmtId="0" fontId="16" fillId="0" borderId="0" xfId="15" applyFont="1" applyBorder="1" applyAlignment="1">
      <alignment horizontal="left"/>
    </xf>
    <xf numFmtId="0" fontId="16" fillId="0" borderId="41" xfId="15" applyFont="1" applyBorder="1" applyAlignment="1">
      <alignment horizontal="left"/>
    </xf>
    <xf numFmtId="0" fontId="16" fillId="0" borderId="0" xfId="15" applyFont="1" applyBorder="1" applyAlignment="1">
      <alignment horizontal="center"/>
    </xf>
    <xf numFmtId="0" fontId="16" fillId="0" borderId="41" xfId="15" applyFont="1" applyBorder="1" applyAlignment="1">
      <alignment horizontal="center"/>
    </xf>
    <xf numFmtId="0" fontId="16" fillId="0" borderId="40" xfId="15" applyFont="1" applyBorder="1" applyAlignment="1">
      <alignment horizontal="center"/>
    </xf>
    <xf numFmtId="0" fontId="16" fillId="0" borderId="47" xfId="15" applyFont="1" applyBorder="1" applyAlignment="1">
      <alignment horizontal="left"/>
    </xf>
    <xf numFmtId="0" fontId="16" fillId="0" borderId="20" xfId="15" applyFont="1" applyBorder="1" applyAlignment="1">
      <alignment horizontal="left"/>
    </xf>
    <xf numFmtId="0" fontId="16" fillId="0" borderId="48" xfId="15" applyFont="1" applyBorder="1" applyAlignment="1">
      <alignment horizontal="left"/>
    </xf>
    <xf numFmtId="0" fontId="16" fillId="0" borderId="20" xfId="15" applyFont="1" applyBorder="1" applyAlignment="1">
      <alignment horizontal="center"/>
    </xf>
    <xf numFmtId="0" fontId="16" fillId="0" borderId="48" xfId="15" applyFont="1" applyBorder="1" applyAlignment="1">
      <alignment horizontal="center"/>
    </xf>
    <xf numFmtId="0" fontId="19" fillId="0" borderId="47" xfId="15" applyFont="1" applyBorder="1" applyAlignment="1">
      <alignment horizontal="right"/>
    </xf>
    <xf numFmtId="0" fontId="19" fillId="0" borderId="20" xfId="15" applyFont="1" applyBorder="1" applyAlignment="1">
      <alignment horizontal="right"/>
    </xf>
    <xf numFmtId="0" fontId="19" fillId="0" borderId="48" xfId="15" applyFont="1" applyBorder="1" applyAlignment="1">
      <alignment horizontal="right"/>
    </xf>
    <xf numFmtId="4" fontId="16" fillId="0" borderId="15" xfId="15" applyNumberFormat="1" applyFont="1" applyBorder="1" applyAlignment="1">
      <alignment horizontal="left"/>
    </xf>
    <xf numFmtId="0" fontId="16" fillId="0" borderId="44" xfId="15" applyFont="1" applyBorder="1" applyAlignment="1">
      <alignment horizontal="left"/>
    </xf>
    <xf numFmtId="0" fontId="16" fillId="0" borderId="40" xfId="15" applyFont="1" applyBorder="1" applyAlignment="1">
      <alignment horizontal="right"/>
    </xf>
    <xf numFmtId="0" fontId="16" fillId="0" borderId="0" xfId="15" applyFont="1" applyBorder="1" applyAlignment="1">
      <alignment horizontal="right"/>
    </xf>
    <xf numFmtId="0" fontId="16" fillId="0" borderId="43" xfId="15" applyFont="1" applyBorder="1" applyAlignment="1">
      <alignment horizontal="left"/>
    </xf>
    <xf numFmtId="0" fontId="16" fillId="0" borderId="15" xfId="15" applyFont="1" applyBorder="1" applyAlignment="1">
      <alignment horizontal="left"/>
    </xf>
    <xf numFmtId="4" fontId="16" fillId="0" borderId="43" xfId="15" applyNumberFormat="1" applyFont="1" applyBorder="1" applyAlignment="1">
      <alignment horizontal="right"/>
    </xf>
    <xf numFmtId="0" fontId="16" fillId="0" borderId="15" xfId="15" applyFont="1" applyBorder="1" applyAlignment="1">
      <alignment horizontal="right"/>
    </xf>
    <xf numFmtId="4" fontId="16" fillId="0" borderId="44" xfId="15" applyNumberFormat="1" applyFont="1" applyBorder="1" applyAlignment="1">
      <alignment horizontal="left"/>
    </xf>
    <xf numFmtId="0" fontId="19" fillId="0" borderId="0" xfId="15" applyFont="1" applyBorder="1" applyAlignment="1">
      <alignment horizontal="left"/>
    </xf>
    <xf numFmtId="0" fontId="19" fillId="0" borderId="41" xfId="15" applyFont="1" applyBorder="1" applyAlignment="1">
      <alignment horizontal="left"/>
    </xf>
    <xf numFmtId="0" fontId="21" fillId="0" borderId="40" xfId="15" applyFont="1" applyBorder="1" applyAlignment="1">
      <alignment horizontal="left"/>
    </xf>
    <xf numFmtId="0" fontId="21" fillId="0" borderId="0" xfId="15" applyFont="1" applyBorder="1" applyAlignment="1">
      <alignment horizontal="left"/>
    </xf>
    <xf numFmtId="0" fontId="21" fillId="0" borderId="41" xfId="15" applyFont="1" applyBorder="1" applyAlignment="1">
      <alignment horizontal="left"/>
    </xf>
    <xf numFmtId="4" fontId="16" fillId="0" borderId="40" xfId="15" applyNumberFormat="1" applyFont="1" applyBorder="1" applyAlignment="1">
      <alignment horizontal="right"/>
    </xf>
    <xf numFmtId="164" fontId="16" fillId="0" borderId="15" xfId="15" applyNumberFormat="1" applyFont="1" applyBorder="1" applyAlignment="1">
      <alignment horizontal="left"/>
    </xf>
    <xf numFmtId="164" fontId="16" fillId="0" borderId="44" xfId="15" applyNumberFormat="1" applyFont="1" applyBorder="1" applyAlignment="1">
      <alignment horizontal="left"/>
    </xf>
    <xf numFmtId="0" fontId="16" fillId="0" borderId="15" xfId="15" applyFont="1" applyBorder="1" applyAlignment="1">
      <alignment horizontal="center"/>
    </xf>
    <xf numFmtId="0" fontId="16" fillId="0" borderId="44" xfId="15" applyFont="1" applyBorder="1" applyAlignment="1">
      <alignment horizontal="center"/>
    </xf>
    <xf numFmtId="0" fontId="16" fillId="0" borderId="43" xfId="15" applyFont="1" applyBorder="1" applyAlignment="1">
      <alignment horizontal="right"/>
    </xf>
    <xf numFmtId="0" fontId="16" fillId="0" borderId="16" xfId="15" applyFont="1" applyBorder="1" applyAlignment="1">
      <alignment horizontal="left"/>
    </xf>
    <xf numFmtId="0" fontId="16" fillId="0" borderId="46" xfId="15" applyFont="1" applyBorder="1" applyAlignment="1">
      <alignment horizontal="left"/>
    </xf>
    <xf numFmtId="0" fontId="16" fillId="0" borderId="40" xfId="15" applyFont="1" applyBorder="1"/>
    <xf numFmtId="0" fontId="16" fillId="0" borderId="0" xfId="15" applyFont="1" applyBorder="1"/>
    <xf numFmtId="0" fontId="16" fillId="0" borderId="41" xfId="15" applyFont="1" applyBorder="1"/>
    <xf numFmtId="0" fontId="16" fillId="0" borderId="43" xfId="15" applyFont="1" applyBorder="1" applyAlignment="1">
      <alignment horizontal="center"/>
    </xf>
    <xf numFmtId="0" fontId="16" fillId="0" borderId="43" xfId="15" applyFont="1" applyBorder="1"/>
    <xf numFmtId="0" fontId="16" fillId="0" borderId="15" xfId="15" applyFont="1" applyBorder="1"/>
    <xf numFmtId="0" fontId="16" fillId="0" borderId="44" xfId="15" applyFont="1" applyBorder="1"/>
    <xf numFmtId="0" fontId="16" fillId="0" borderId="36" xfId="15" applyFont="1" applyBorder="1" applyAlignment="1">
      <alignment horizontal="left"/>
    </xf>
    <xf numFmtId="0" fontId="16" fillId="0" borderId="37" xfId="15" applyFont="1" applyBorder="1" applyAlignment="1">
      <alignment horizontal="left"/>
    </xf>
    <xf numFmtId="0" fontId="16" fillId="0" borderId="38" xfId="15" applyFont="1" applyBorder="1" applyAlignment="1">
      <alignment horizontal="left"/>
    </xf>
    <xf numFmtId="0" fontId="16" fillId="0" borderId="36" xfId="15" applyFont="1" applyBorder="1" applyAlignment="1">
      <alignment horizontal="right"/>
    </xf>
    <xf numFmtId="0" fontId="16" fillId="0" borderId="37" xfId="15" applyFont="1" applyBorder="1" applyAlignment="1">
      <alignment horizontal="right"/>
    </xf>
    <xf numFmtId="0" fontId="16" fillId="0" borderId="0" xfId="15" applyFont="1" applyAlignment="1">
      <alignment horizontal="left" vertical="top" wrapText="1"/>
    </xf>
    <xf numFmtId="0" fontId="18" fillId="0" borderId="0" xfId="15" applyFont="1" applyAlignment="1">
      <alignment horizontal="left" vertical="top" wrapText="1"/>
    </xf>
    <xf numFmtId="0" fontId="18" fillId="0" borderId="1" xfId="15" applyFont="1" applyBorder="1" applyAlignment="1">
      <alignment horizontal="left" vertical="top" wrapText="1"/>
    </xf>
    <xf numFmtId="0" fontId="1" fillId="0" borderId="21" xfId="15" applyBorder="1" applyAlignment="1">
      <alignment horizontal="center" vertical="center" wrapText="1"/>
    </xf>
    <xf numFmtId="0" fontId="1" fillId="0" borderId="25" xfId="15" applyBorder="1" applyAlignment="1">
      <alignment horizontal="center" vertical="center" wrapText="1"/>
    </xf>
    <xf numFmtId="0" fontId="1" fillId="0" borderId="28" xfId="15" applyBorder="1" applyAlignment="1">
      <alignment horizontal="center" vertical="center" wrapText="1"/>
    </xf>
    <xf numFmtId="0" fontId="16" fillId="0" borderId="22" xfId="15" applyFont="1" applyBorder="1" applyAlignment="1">
      <alignment horizontal="center" vertical="center" wrapText="1"/>
    </xf>
    <xf numFmtId="0" fontId="16" fillId="0" borderId="23" xfId="15" applyFont="1" applyBorder="1" applyAlignment="1">
      <alignment horizontal="center" vertical="center" wrapText="1"/>
    </xf>
    <xf numFmtId="0" fontId="16" fillId="0" borderId="24" xfId="15" applyFont="1" applyBorder="1" applyAlignment="1">
      <alignment horizontal="center" vertical="center" wrapText="1"/>
    </xf>
    <xf numFmtId="0" fontId="16" fillId="0" borderId="26" xfId="15" applyFont="1" applyBorder="1" applyAlignment="1">
      <alignment horizontal="center" vertical="center" wrapText="1"/>
    </xf>
    <xf numFmtId="0" fontId="16" fillId="0" borderId="10" xfId="15" applyFont="1" applyBorder="1" applyAlignment="1">
      <alignment horizontal="center" vertical="center" wrapText="1"/>
    </xf>
    <xf numFmtId="0" fontId="16" fillId="0" borderId="27" xfId="15" applyFont="1" applyBorder="1" applyAlignment="1">
      <alignment horizontal="center" vertical="center" wrapText="1"/>
    </xf>
    <xf numFmtId="0" fontId="16" fillId="0" borderId="29" xfId="15" applyFont="1" applyBorder="1" applyAlignment="1">
      <alignment horizontal="center" vertical="center" wrapText="1"/>
    </xf>
    <xf numFmtId="0" fontId="16" fillId="0" borderId="12" xfId="15" applyFont="1" applyBorder="1" applyAlignment="1">
      <alignment horizontal="center" vertical="center" wrapText="1"/>
    </xf>
    <xf numFmtId="0" fontId="16" fillId="0" borderId="30" xfId="15" applyFont="1" applyBorder="1" applyAlignment="1">
      <alignment horizontal="center" vertical="center" wrapText="1"/>
    </xf>
    <xf numFmtId="0" fontId="16" fillId="0" borderId="4" xfId="15" applyFont="1" applyBorder="1" applyAlignment="1">
      <alignment horizontal="center" vertical="center" wrapText="1"/>
    </xf>
    <xf numFmtId="0" fontId="16" fillId="0" borderId="18" xfId="15" applyFont="1" applyBorder="1" applyAlignment="1">
      <alignment horizontal="center" vertical="center" wrapText="1"/>
    </xf>
    <xf numFmtId="0" fontId="16" fillId="0" borderId="13" xfId="15" applyFont="1" applyBorder="1" applyAlignment="1">
      <alignment horizontal="center" vertical="center" wrapText="1"/>
    </xf>
    <xf numFmtId="0" fontId="16" fillId="0" borderId="21" xfId="15" applyFont="1" applyBorder="1" applyAlignment="1">
      <alignment horizontal="center" vertical="center" wrapText="1"/>
    </xf>
    <xf numFmtId="0" fontId="16" fillId="0" borderId="25" xfId="15" applyFont="1" applyBorder="1" applyAlignment="1">
      <alignment horizontal="center" vertical="center" wrapText="1"/>
    </xf>
    <xf numFmtId="0" fontId="16" fillId="0" borderId="28" xfId="15" applyFont="1" applyBorder="1" applyAlignment="1">
      <alignment horizontal="center" vertical="center" wrapText="1"/>
    </xf>
    <xf numFmtId="0" fontId="15" fillId="0" borderId="0" xfId="15" applyFont="1" applyAlignment="1">
      <alignment horizontal="center"/>
    </xf>
    <xf numFmtId="0" fontId="17" fillId="0" borderId="0" xfId="15" applyFont="1" applyAlignment="1">
      <alignment horizontal="left" vertical="top" wrapText="1"/>
    </xf>
    <xf numFmtId="0" fontId="18" fillId="0" borderId="0" xfId="15" applyFont="1" applyAlignment="1">
      <alignment horizontal="left" vertical="top"/>
    </xf>
    <xf numFmtId="0" fontId="1" fillId="0" borderId="32" xfId="15" applyBorder="1" applyAlignment="1">
      <alignment horizontal="center" vertical="center" wrapText="1"/>
    </xf>
    <xf numFmtId="0" fontId="1" fillId="0" borderId="33" xfId="15" applyBorder="1" applyAlignment="1">
      <alignment horizontal="center" vertical="center" wrapText="1"/>
    </xf>
    <xf numFmtId="0" fontId="1" fillId="0" borderId="34" xfId="15" applyBorder="1" applyAlignment="1">
      <alignment horizontal="center" vertical="center" wrapText="1"/>
    </xf>
    <xf numFmtId="0" fontId="1" fillId="0" borderId="35" xfId="15" applyBorder="1" applyAlignment="1">
      <alignment horizontal="center" vertical="center" wrapText="1"/>
    </xf>
    <xf numFmtId="0" fontId="24" fillId="0" borderId="15" xfId="15" applyFont="1" applyBorder="1" applyAlignment="1">
      <alignment horizontal="left"/>
    </xf>
    <xf numFmtId="166" fontId="23" fillId="0" borderId="5" xfId="15" applyNumberFormat="1" applyFont="1" applyBorder="1" applyAlignment="1">
      <alignment horizontal="right"/>
    </xf>
    <xf numFmtId="0" fontId="23" fillId="0" borderId="5" xfId="15" applyFont="1" applyBorder="1" applyAlignment="1">
      <alignment horizontal="right"/>
    </xf>
    <xf numFmtId="0" fontId="16" fillId="0" borderId="1" xfId="15" applyFont="1" applyBorder="1" applyAlignment="1">
      <alignment horizontal="left"/>
    </xf>
    <xf numFmtId="166" fontId="23" fillId="0" borderId="1" xfId="15" applyNumberFormat="1" applyFont="1" applyBorder="1" applyAlignment="1">
      <alignment horizontal="right"/>
    </xf>
    <xf numFmtId="0" fontId="23" fillId="0" borderId="1" xfId="15" applyFont="1" applyBorder="1" applyAlignment="1">
      <alignment horizontal="right"/>
    </xf>
    <xf numFmtId="0" fontId="1" fillId="0" borderId="0" xfId="15" applyBorder="1" applyAlignment="1">
      <alignment horizontal="center"/>
    </xf>
    <xf numFmtId="0" fontId="16" fillId="0" borderId="16" xfId="15" applyFont="1" applyBorder="1" applyAlignment="1">
      <alignment horizontal="center"/>
    </xf>
    <xf numFmtId="0" fontId="16" fillId="0" borderId="45" xfId="15" applyFont="1" applyBorder="1" applyAlignment="1">
      <alignment horizontal="left"/>
    </xf>
    <xf numFmtId="0" fontId="24" fillId="0" borderId="20" xfId="15" applyFont="1" applyBorder="1" applyAlignment="1">
      <alignment horizontal="left"/>
    </xf>
    <xf numFmtId="166" fontId="16" fillId="0" borderId="43" xfId="15" applyNumberFormat="1" applyFont="1" applyBorder="1" applyAlignment="1">
      <alignment horizontal="right"/>
    </xf>
    <xf numFmtId="166" fontId="16" fillId="0" borderId="15" xfId="15" applyNumberFormat="1" applyFont="1" applyBorder="1" applyAlignment="1">
      <alignment horizontal="left"/>
    </xf>
    <xf numFmtId="166" fontId="16" fillId="0" borderId="44" xfId="15" applyNumberFormat="1" applyFont="1" applyBorder="1" applyAlignment="1">
      <alignment horizontal="left"/>
    </xf>
    <xf numFmtId="166" fontId="23" fillId="0" borderId="15" xfId="15" applyNumberFormat="1" applyFont="1" applyBorder="1" applyAlignment="1">
      <alignment horizontal="right"/>
    </xf>
    <xf numFmtId="0" fontId="23" fillId="0" borderId="15" xfId="15" applyFont="1" applyBorder="1" applyAlignment="1">
      <alignment horizontal="right"/>
    </xf>
    <xf numFmtId="0" fontId="16" fillId="0" borderId="47" xfId="15" applyFont="1" applyBorder="1" applyAlignment="1">
      <alignment horizontal="center"/>
    </xf>
    <xf numFmtId="0" fontId="16" fillId="0" borderId="20" xfId="15" applyFont="1" applyBorder="1" applyAlignment="1">
      <alignment horizontal="right"/>
    </xf>
    <xf numFmtId="0" fontId="18" fillId="0" borderId="20" xfId="15" applyFont="1" applyBorder="1" applyAlignment="1">
      <alignment horizontal="left"/>
    </xf>
    <xf numFmtId="0" fontId="18" fillId="0" borderId="47" xfId="15" applyFont="1" applyBorder="1" applyAlignment="1">
      <alignment horizontal="center"/>
    </xf>
    <xf numFmtId="0" fontId="18" fillId="0" borderId="20" xfId="15" applyFont="1" applyBorder="1" applyAlignment="1">
      <alignment horizontal="center"/>
    </xf>
    <xf numFmtId="0" fontId="18" fillId="0" borderId="48" xfId="15" applyFont="1" applyBorder="1" applyAlignment="1">
      <alignment horizontal="center"/>
    </xf>
    <xf numFmtId="0" fontId="21" fillId="0" borderId="16" xfId="15" applyFont="1" applyBorder="1" applyAlignment="1">
      <alignment horizontal="left"/>
    </xf>
    <xf numFmtId="0" fontId="24" fillId="0" borderId="20" xfId="15" applyFont="1" applyBorder="1" applyAlignment="1">
      <alignment horizontal="left" wrapText="1"/>
    </xf>
    <xf numFmtId="0" fontId="16" fillId="0" borderId="47" xfId="15" applyFont="1" applyBorder="1" applyAlignment="1">
      <alignment horizontal="left" wrapText="1"/>
    </xf>
    <xf numFmtId="0" fontId="16" fillId="0" borderId="20" xfId="15" applyFont="1" applyBorder="1" applyAlignment="1">
      <alignment horizontal="left" wrapText="1"/>
    </xf>
    <xf numFmtId="0" fontId="16" fillId="0" borderId="48" xfId="15" applyFont="1" applyBorder="1" applyAlignment="1">
      <alignment horizontal="left" wrapText="1"/>
    </xf>
    <xf numFmtId="4" fontId="16" fillId="0" borderId="20" xfId="15" applyNumberFormat="1" applyFont="1" applyBorder="1" applyAlignment="1">
      <alignment horizontal="right"/>
    </xf>
    <xf numFmtId="0" fontId="16" fillId="0" borderId="45" xfId="15" applyFont="1" applyBorder="1" applyAlignment="1">
      <alignment horizontal="center"/>
    </xf>
    <xf numFmtId="0" fontId="16" fillId="0" borderId="46" xfId="15" applyFont="1" applyBorder="1" applyAlignment="1">
      <alignment horizontal="center"/>
    </xf>
    <xf numFmtId="0" fontId="16" fillId="0" borderId="16" xfId="15" applyFont="1" applyBorder="1" applyAlignment="1">
      <alignment horizontal="left" indent="1"/>
    </xf>
    <xf numFmtId="0" fontId="16" fillId="0" borderId="16" xfId="15" applyFont="1" applyBorder="1" applyAlignment="1">
      <alignment horizontal="right"/>
    </xf>
    <xf numFmtId="0" fontId="16" fillId="0" borderId="15" xfId="15" applyFont="1" applyBorder="1" applyAlignment="1"/>
    <xf numFmtId="0" fontId="1" fillId="0" borderId="54" xfId="15" applyBorder="1" applyAlignment="1">
      <alignment horizontal="center" vertical="center" wrapText="1"/>
    </xf>
    <xf numFmtId="0" fontId="18" fillId="0" borderId="37" xfId="15" applyFont="1" applyBorder="1" applyAlignment="1">
      <alignment horizontal="left" vertical="center" wrapText="1"/>
    </xf>
    <xf numFmtId="0" fontId="18" fillId="0" borderId="36" xfId="15" applyFont="1" applyBorder="1" applyAlignment="1">
      <alignment horizontal="center" vertical="center" wrapText="1"/>
    </xf>
    <xf numFmtId="0" fontId="18" fillId="0" borderId="37" xfId="15" applyFont="1" applyBorder="1" applyAlignment="1">
      <alignment horizontal="center" vertical="center" wrapText="1"/>
    </xf>
    <xf numFmtId="0" fontId="18" fillId="0" borderId="38" xfId="15" applyFont="1" applyBorder="1" applyAlignment="1">
      <alignment horizontal="center" vertical="center" wrapText="1"/>
    </xf>
    <xf numFmtId="0" fontId="1" fillId="0" borderId="37" xfId="15" applyBorder="1" applyAlignment="1">
      <alignment horizontal="center" vertical="center" wrapText="1"/>
    </xf>
    <xf numFmtId="0" fontId="1" fillId="0" borderId="37" xfId="15" applyBorder="1"/>
    <xf numFmtId="0" fontId="16" fillId="0" borderId="53" xfId="15" applyFont="1" applyBorder="1" applyAlignment="1">
      <alignment horizontal="center" vertical="center" wrapText="1"/>
    </xf>
    <xf numFmtId="0" fontId="16" fillId="0" borderId="19" xfId="15" applyFont="1" applyBorder="1" applyAlignment="1">
      <alignment horizontal="center" vertical="center" wrapText="1"/>
    </xf>
    <xf numFmtId="0" fontId="16" fillId="0" borderId="14" xfId="15" applyFont="1" applyBorder="1" applyAlignment="1">
      <alignment horizontal="center" vertical="center" wrapText="1"/>
    </xf>
    <xf numFmtId="0" fontId="35" fillId="0" borderId="0" xfId="15" applyFont="1" applyBorder="1" applyAlignment="1">
      <alignment horizontal="center"/>
    </xf>
    <xf numFmtId="0" fontId="36" fillId="0" borderId="0" xfId="15" applyFont="1" applyBorder="1" applyAlignment="1">
      <alignment horizontal="center"/>
    </xf>
    <xf numFmtId="0" fontId="27" fillId="0" borderId="0" xfId="15" applyFont="1" applyBorder="1" applyAlignment="1">
      <alignment horizontal="center"/>
    </xf>
    <xf numFmtId="0" fontId="33" fillId="0" borderId="10" xfId="16" applyFont="1" applyBorder="1" applyAlignment="1">
      <alignment horizontal="center" vertical="top" wrapText="1"/>
    </xf>
    <xf numFmtId="16" fontId="33" fillId="3" borderId="18" xfId="2" applyNumberFormat="1" applyFont="1" applyFill="1" applyBorder="1" applyAlignment="1">
      <alignment horizontal="center" vertical="center" wrapText="1"/>
    </xf>
    <xf numFmtId="0" fontId="25" fillId="3" borderId="20" xfId="2" applyFont="1" applyFill="1" applyBorder="1" applyAlignment="1">
      <alignment horizontal="center" vertical="center" wrapText="1"/>
    </xf>
    <xf numFmtId="0" fontId="25" fillId="3" borderId="19" xfId="2" applyFont="1" applyFill="1" applyBorder="1" applyAlignment="1">
      <alignment horizontal="center" vertical="center" wrapText="1"/>
    </xf>
    <xf numFmtId="0" fontId="33" fillId="0" borderId="18" xfId="2" applyFont="1" applyFill="1" applyBorder="1" applyAlignment="1">
      <alignment horizontal="left" vertical="center" wrapText="1"/>
    </xf>
    <xf numFmtId="0" fontId="33" fillId="0" borderId="20" xfId="2" applyFont="1" applyFill="1" applyBorder="1" applyAlignment="1">
      <alignment horizontal="left" vertical="center" wrapText="1"/>
    </xf>
    <xf numFmtId="0" fontId="33" fillId="0" borderId="19" xfId="2" applyFont="1" applyFill="1" applyBorder="1" applyAlignment="1">
      <alignment horizontal="left" vertical="center" wrapText="1"/>
    </xf>
    <xf numFmtId="0" fontId="33" fillId="0" borderId="18" xfId="16" applyFont="1" applyBorder="1" applyAlignment="1">
      <alignment horizontal="center" vertical="top" wrapText="1"/>
    </xf>
    <xf numFmtId="0" fontId="33" fillId="0" borderId="20" xfId="16" applyFont="1" applyBorder="1" applyAlignment="1">
      <alignment horizontal="center" vertical="top" wrapText="1"/>
    </xf>
    <xf numFmtId="0" fontId="33" fillId="0" borderId="19" xfId="16" applyFont="1" applyBorder="1" applyAlignment="1">
      <alignment horizontal="center" vertical="top" wrapText="1"/>
    </xf>
    <xf numFmtId="0" fontId="33" fillId="0" borderId="18" xfId="16" applyFont="1" applyBorder="1" applyAlignment="1">
      <alignment horizontal="left" vertical="top" wrapText="1"/>
    </xf>
    <xf numFmtId="0" fontId="33" fillId="0" borderId="20" xfId="16" applyFont="1" applyBorder="1" applyAlignment="1">
      <alignment horizontal="left" vertical="top" wrapText="1"/>
    </xf>
    <xf numFmtId="0" fontId="33" fillId="0" borderId="19" xfId="16" applyFont="1" applyBorder="1" applyAlignment="1">
      <alignment horizontal="left" vertical="top" wrapText="1"/>
    </xf>
    <xf numFmtId="0" fontId="33" fillId="0" borderId="0" xfId="16" applyFont="1" applyAlignment="1">
      <alignment horizontal="center" vertical="top" wrapText="1"/>
    </xf>
    <xf numFmtId="0" fontId="33" fillId="0" borderId="18" xfId="2" applyFont="1" applyFill="1" applyBorder="1" applyAlignment="1">
      <alignment horizontal="center" vertical="top" wrapText="1"/>
    </xf>
    <xf numFmtId="0" fontId="33" fillId="0" borderId="20" xfId="2" applyFont="1" applyFill="1" applyBorder="1" applyAlignment="1">
      <alignment horizontal="center" vertical="top" wrapText="1"/>
    </xf>
    <xf numFmtId="0" fontId="33" fillId="0" borderId="19" xfId="2" applyFont="1" applyFill="1" applyBorder="1" applyAlignment="1">
      <alignment horizontal="center" vertical="top" wrapText="1"/>
    </xf>
    <xf numFmtId="0" fontId="33" fillId="0" borderId="10" xfId="2" applyFont="1" applyFill="1" applyBorder="1" applyAlignment="1">
      <alignment horizontal="left" vertical="center" wrapText="1"/>
    </xf>
    <xf numFmtId="0" fontId="33" fillId="0" borderId="18" xfId="2" applyFont="1" applyFill="1" applyBorder="1" applyAlignment="1">
      <alignment horizontal="center" vertical="center" wrapText="1"/>
    </xf>
    <xf numFmtId="0" fontId="33" fillId="0" borderId="20" xfId="2" applyFont="1" applyFill="1" applyBorder="1" applyAlignment="1">
      <alignment horizontal="center" vertical="center" wrapText="1"/>
    </xf>
    <xf numFmtId="0" fontId="33" fillId="0" borderId="19" xfId="2" applyFont="1" applyFill="1" applyBorder="1" applyAlignment="1">
      <alignment horizontal="center" vertical="center" wrapText="1"/>
    </xf>
    <xf numFmtId="0" fontId="33" fillId="3" borderId="20" xfId="2" applyFont="1" applyFill="1" applyBorder="1" applyAlignment="1">
      <alignment horizontal="center" vertical="center" wrapText="1"/>
    </xf>
    <xf numFmtId="0" fontId="33" fillId="3" borderId="19" xfId="2" applyFont="1" applyFill="1" applyBorder="1" applyAlignment="1">
      <alignment horizontal="center" vertical="center" wrapText="1"/>
    </xf>
    <xf numFmtId="0" fontId="25" fillId="0" borderId="10" xfId="2" applyFont="1" applyFill="1" applyBorder="1" applyAlignment="1">
      <alignment horizontal="left" vertical="top" wrapText="1"/>
    </xf>
    <xf numFmtId="0" fontId="25" fillId="0" borderId="10" xfId="2" applyFont="1" applyFill="1" applyBorder="1" applyAlignment="1">
      <alignment horizontal="left" vertical="center" wrapText="1"/>
    </xf>
    <xf numFmtId="0" fontId="33" fillId="0" borderId="18" xfId="2" applyFont="1" applyFill="1" applyBorder="1" applyAlignment="1">
      <alignment horizontal="left" vertical="top" wrapText="1"/>
    </xf>
    <xf numFmtId="0" fontId="33" fillId="0" borderId="20" xfId="2" applyFont="1" applyFill="1" applyBorder="1" applyAlignment="1">
      <alignment horizontal="left" vertical="top" wrapText="1"/>
    </xf>
    <xf numFmtId="0" fontId="33" fillId="0" borderId="19" xfId="2" applyFont="1" applyFill="1" applyBorder="1" applyAlignment="1">
      <alignment horizontal="left" vertical="top" wrapText="1"/>
    </xf>
    <xf numFmtId="0" fontId="16" fillId="0" borderId="1" xfId="15" applyFont="1" applyBorder="1" applyAlignment="1">
      <alignment horizontal="left" vertical="top" wrapText="1"/>
    </xf>
    <xf numFmtId="0" fontId="25" fillId="0" borderId="18" xfId="16" applyFont="1" applyFill="1" applyBorder="1" applyAlignment="1">
      <alignment horizontal="left" vertical="top" wrapText="1"/>
    </xf>
    <xf numFmtId="0" fontId="25" fillId="0" borderId="20" xfId="16" applyFont="1" applyFill="1" applyBorder="1" applyAlignment="1">
      <alignment horizontal="left" vertical="top" wrapText="1"/>
    </xf>
    <xf numFmtId="0" fontId="25" fillId="0" borderId="19" xfId="16" applyFont="1" applyFill="1" applyBorder="1" applyAlignment="1">
      <alignment horizontal="left" vertical="top" wrapText="1"/>
    </xf>
    <xf numFmtId="0" fontId="33" fillId="0" borderId="18" xfId="16" applyFont="1" applyFill="1" applyBorder="1" applyAlignment="1">
      <alignment horizontal="center" vertical="top" wrapText="1"/>
    </xf>
    <xf numFmtId="0" fontId="33" fillId="0" borderId="20" xfId="16" applyFont="1" applyFill="1" applyBorder="1" applyAlignment="1">
      <alignment horizontal="center" vertical="top" wrapText="1"/>
    </xf>
    <xf numFmtId="0" fontId="33" fillId="0" borderId="19" xfId="16" applyFont="1" applyFill="1" applyBorder="1" applyAlignment="1">
      <alignment horizontal="center" vertical="top" wrapText="1"/>
    </xf>
    <xf numFmtId="0" fontId="33" fillId="0" borderId="10" xfId="16" applyFont="1" applyBorder="1" applyAlignment="1">
      <alignment horizontal="left" vertical="top" wrapText="1"/>
    </xf>
    <xf numFmtId="0" fontId="33" fillId="0" borderId="18" xfId="16" applyFont="1" applyFill="1" applyBorder="1" applyAlignment="1">
      <alignment horizontal="center" vertical="top"/>
    </xf>
    <xf numFmtId="0" fontId="25" fillId="0" borderId="20" xfId="16" applyFont="1" applyFill="1" applyBorder="1" applyAlignment="1">
      <alignment horizontal="center" vertical="top"/>
    </xf>
    <xf numFmtId="0" fontId="25" fillId="0" borderId="19" xfId="16" applyFont="1" applyFill="1" applyBorder="1" applyAlignment="1">
      <alignment horizontal="center" vertical="top"/>
    </xf>
    <xf numFmtId="0" fontId="33" fillId="0" borderId="10" xfId="15" applyFont="1" applyBorder="1" applyAlignment="1">
      <alignment horizontal="center" wrapText="1"/>
    </xf>
    <xf numFmtId="0" fontId="25" fillId="0" borderId="18" xfId="15" applyFont="1" applyFill="1" applyBorder="1" applyAlignment="1">
      <alignment horizontal="left" vertical="top" wrapText="1"/>
    </xf>
    <xf numFmtId="0" fontId="25" fillId="0" borderId="20" xfId="15" applyFont="1" applyFill="1" applyBorder="1" applyAlignment="1">
      <alignment horizontal="left" vertical="top" wrapText="1"/>
    </xf>
    <xf numFmtId="0" fontId="25" fillId="0" borderId="19" xfId="15" applyFont="1" applyFill="1" applyBorder="1" applyAlignment="1">
      <alignment horizontal="left" vertical="top" wrapText="1"/>
    </xf>
    <xf numFmtId="0" fontId="38" fillId="0" borderId="18" xfId="15" applyFont="1" applyFill="1" applyBorder="1" applyAlignment="1">
      <alignment horizontal="center" vertical="top" wrapText="1"/>
    </xf>
    <xf numFmtId="0" fontId="38" fillId="0" borderId="20" xfId="15" applyFont="1" applyFill="1" applyBorder="1" applyAlignment="1">
      <alignment horizontal="center" vertical="top" wrapText="1"/>
    </xf>
    <xf numFmtId="0" fontId="38" fillId="0" borderId="19" xfId="15" applyFont="1" applyFill="1" applyBorder="1" applyAlignment="1">
      <alignment horizontal="center" vertical="top" wrapText="1"/>
    </xf>
    <xf numFmtId="0" fontId="25" fillId="0" borderId="18" xfId="15" applyFont="1" applyFill="1" applyBorder="1" applyAlignment="1">
      <alignment horizontal="center" vertical="top" wrapText="1"/>
    </xf>
    <xf numFmtId="0" fontId="25" fillId="0" borderId="20" xfId="15" applyFont="1" applyFill="1" applyBorder="1" applyAlignment="1">
      <alignment horizontal="center" vertical="top" wrapText="1"/>
    </xf>
    <xf numFmtId="4" fontId="33" fillId="0" borderId="20" xfId="15" applyNumberFormat="1" applyFont="1" applyFill="1" applyBorder="1" applyAlignment="1">
      <alignment horizontal="center" vertical="top" wrapText="1"/>
    </xf>
    <xf numFmtId="0" fontId="33" fillId="0" borderId="20" xfId="15" applyFont="1" applyFill="1" applyBorder="1" applyAlignment="1">
      <alignment horizontal="center" vertical="top" wrapText="1"/>
    </xf>
    <xf numFmtId="0" fontId="25" fillId="0" borderId="19" xfId="15" applyFont="1" applyFill="1" applyBorder="1" applyAlignment="1">
      <alignment horizontal="center" vertical="top" wrapText="1"/>
    </xf>
    <xf numFmtId="0" fontId="33" fillId="0" borderId="18" xfId="15" applyFont="1" applyBorder="1" applyAlignment="1">
      <alignment horizontal="center" vertical="top" wrapText="1"/>
    </xf>
    <xf numFmtId="0" fontId="33" fillId="0" borderId="20" xfId="15" applyFont="1" applyBorder="1" applyAlignment="1">
      <alignment horizontal="center" vertical="top" wrapText="1"/>
    </xf>
    <xf numFmtId="0" fontId="33" fillId="0" borderId="19" xfId="15" applyFont="1" applyBorder="1" applyAlignment="1">
      <alignment horizontal="center" vertical="top" wrapText="1"/>
    </xf>
    <xf numFmtId="0" fontId="27" fillId="0" borderId="0" xfId="15" applyFont="1" applyAlignment="1">
      <alignment horizontal="center"/>
    </xf>
    <xf numFmtId="0" fontId="22" fillId="0" borderId="0" xfId="15" applyFont="1" applyBorder="1" applyAlignment="1">
      <alignment horizontal="center" vertical="top"/>
    </xf>
    <xf numFmtId="0" fontId="22" fillId="0" borderId="15" xfId="15" applyFont="1" applyBorder="1" applyAlignment="1">
      <alignment horizontal="center" vertical="top"/>
    </xf>
    <xf numFmtId="0" fontId="37" fillId="0" borderId="0" xfId="15" applyFont="1" applyAlignment="1">
      <alignment horizontal="left" vertical="top"/>
    </xf>
    <xf numFmtId="0" fontId="51" fillId="2" borderId="18" xfId="2" applyFont="1" applyFill="1" applyBorder="1" applyAlignment="1">
      <alignment horizontal="left" vertical="center"/>
    </xf>
    <xf numFmtId="0" fontId="51" fillId="2" borderId="20" xfId="2" applyFont="1" applyFill="1" applyBorder="1" applyAlignment="1">
      <alignment horizontal="left" vertical="center"/>
    </xf>
    <xf numFmtId="0" fontId="51" fillId="2" borderId="19" xfId="2" applyFont="1" applyFill="1" applyBorder="1" applyAlignment="1">
      <alignment horizontal="left" vertical="center"/>
    </xf>
    <xf numFmtId="0" fontId="50" fillId="2" borderId="0" xfId="2" applyFont="1" applyFill="1" applyAlignment="1">
      <alignment horizontal="center" vertical="center" wrapText="1"/>
    </xf>
    <xf numFmtId="0" fontId="4" fillId="2" borderId="0" xfId="2" applyFill="1" applyAlignment="1">
      <alignment horizontal="center" vertical="center"/>
    </xf>
    <xf numFmtId="0" fontId="4" fillId="2" borderId="0" xfId="17" applyFont="1" applyFill="1" applyAlignment="1">
      <alignment horizontal="center" vertical="center" wrapText="1"/>
    </xf>
    <xf numFmtId="0" fontId="5" fillId="2" borderId="16" xfId="2" applyFont="1" applyFill="1" applyBorder="1" applyAlignment="1">
      <alignment horizontal="center" vertical="top" wrapText="1"/>
    </xf>
    <xf numFmtId="0" fontId="5" fillId="2" borderId="12" xfId="2" applyFont="1" applyFill="1" applyBorder="1" applyAlignment="1">
      <alignment horizontal="center" vertical="center" wrapText="1"/>
    </xf>
    <xf numFmtId="0" fontId="6" fillId="2" borderId="1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  <xf numFmtId="0" fontId="51" fillId="2" borderId="12" xfId="2" applyFont="1" applyFill="1" applyBorder="1" applyAlignment="1">
      <alignment horizontal="center" vertical="center" wrapText="1"/>
    </xf>
    <xf numFmtId="0" fontId="49" fillId="2" borderId="17" xfId="2" applyFont="1" applyFill="1" applyBorder="1" applyAlignment="1">
      <alignment horizontal="center" vertical="center" wrapText="1"/>
    </xf>
    <xf numFmtId="0" fontId="49" fillId="2" borderId="11" xfId="2" applyFont="1" applyFill="1" applyBorder="1" applyAlignment="1">
      <alignment horizontal="center" vertical="center" wrapText="1"/>
    </xf>
    <xf numFmtId="0" fontId="51" fillId="2" borderId="17" xfId="2" applyFont="1" applyFill="1" applyBorder="1" applyAlignment="1">
      <alignment horizontal="center" vertical="center" wrapText="1"/>
    </xf>
    <xf numFmtId="0" fontId="51" fillId="2" borderId="11" xfId="2" applyFont="1" applyFill="1" applyBorder="1" applyAlignment="1">
      <alignment horizontal="center" vertical="center" wrapText="1"/>
    </xf>
    <xf numFmtId="167" fontId="49" fillId="2" borderId="12" xfId="2" applyNumberFormat="1" applyFont="1" applyFill="1" applyBorder="1" applyAlignment="1">
      <alignment horizontal="center" vertical="center" wrapText="1"/>
    </xf>
    <xf numFmtId="167" fontId="49" fillId="2" borderId="17" xfId="2" applyNumberFormat="1" applyFont="1" applyFill="1" applyBorder="1" applyAlignment="1">
      <alignment horizontal="center" vertical="center" wrapText="1"/>
    </xf>
    <xf numFmtId="167" fontId="49" fillId="2" borderId="11" xfId="2" applyNumberFormat="1" applyFont="1" applyFill="1" applyBorder="1" applyAlignment="1">
      <alignment horizontal="center" vertical="center" wrapText="1"/>
    </xf>
    <xf numFmtId="167" fontId="51" fillId="2" borderId="12" xfId="2" applyNumberFormat="1" applyFont="1" applyFill="1" applyBorder="1" applyAlignment="1">
      <alignment horizontal="center" vertical="center" wrapText="1"/>
    </xf>
    <xf numFmtId="167" fontId="51" fillId="2" borderId="17" xfId="2" applyNumberFormat="1" applyFont="1" applyFill="1" applyBorder="1" applyAlignment="1">
      <alignment horizontal="center" vertical="center" wrapText="1"/>
    </xf>
    <xf numFmtId="167" fontId="51" fillId="2" borderId="11" xfId="2" applyNumberFormat="1" applyFont="1" applyFill="1" applyBorder="1" applyAlignment="1">
      <alignment horizontal="center" vertical="center" wrapText="1"/>
    </xf>
    <xf numFmtId="0" fontId="49" fillId="2" borderId="12" xfId="2" applyFont="1" applyFill="1" applyBorder="1" applyAlignment="1">
      <alignment horizontal="center" vertical="center"/>
    </xf>
    <xf numFmtId="0" fontId="49" fillId="2" borderId="17" xfId="2" applyFont="1" applyFill="1" applyBorder="1" applyAlignment="1">
      <alignment horizontal="center" vertical="center"/>
    </xf>
    <xf numFmtId="0" fontId="49" fillId="2" borderId="11" xfId="2" applyFont="1" applyFill="1" applyBorder="1" applyAlignment="1">
      <alignment horizontal="center" vertical="center"/>
    </xf>
    <xf numFmtId="0" fontId="51" fillId="2" borderId="18" xfId="2" applyFont="1" applyFill="1" applyBorder="1" applyAlignment="1">
      <alignment horizontal="left" vertical="center" wrapText="1"/>
    </xf>
    <xf numFmtId="0" fontId="51" fillId="2" borderId="20" xfId="2" applyFont="1" applyFill="1" applyBorder="1" applyAlignment="1">
      <alignment horizontal="left" vertical="center" wrapText="1"/>
    </xf>
    <xf numFmtId="0" fontId="51" fillId="2" borderId="19" xfId="2" applyFont="1" applyFill="1" applyBorder="1" applyAlignment="1">
      <alignment horizontal="left" vertical="center" wrapText="1"/>
    </xf>
    <xf numFmtId="0" fontId="4" fillId="0" borderId="0" xfId="13" applyAlignment="1">
      <alignment vertical="center" wrapText="1"/>
    </xf>
    <xf numFmtId="0" fontId="54" fillId="0" borderId="0" xfId="17" applyFont="1" applyAlignment="1">
      <alignment vertical="center" wrapText="1"/>
    </xf>
    <xf numFmtId="0" fontId="48" fillId="0" borderId="0" xfId="17" applyAlignment="1">
      <alignment vertical="center" wrapText="1"/>
    </xf>
    <xf numFmtId="0" fontId="48" fillId="0" borderId="0" xfId="17"/>
    <xf numFmtId="0" fontId="48" fillId="0" borderId="0" xfId="17" applyAlignment="1">
      <alignment wrapText="1"/>
    </xf>
    <xf numFmtId="0" fontId="49" fillId="2" borderId="18" xfId="2" applyFont="1" applyFill="1" applyBorder="1" applyAlignment="1">
      <alignment horizontal="center" vertical="center" wrapText="1"/>
    </xf>
    <xf numFmtId="0" fontId="49" fillId="2" borderId="20" xfId="2" applyFont="1" applyFill="1" applyBorder="1" applyAlignment="1">
      <alignment horizontal="center" vertical="center" wrapText="1"/>
    </xf>
    <xf numFmtId="0" fontId="49" fillId="2" borderId="19" xfId="2" applyFont="1" applyFill="1" applyBorder="1" applyAlignment="1">
      <alignment horizontal="center" vertical="center" wrapText="1"/>
    </xf>
    <xf numFmtId="0" fontId="51" fillId="0" borderId="18" xfId="12" applyFont="1" applyBorder="1" applyAlignment="1">
      <alignment horizontal="left" vertical="center"/>
    </xf>
    <xf numFmtId="0" fontId="51" fillId="0" borderId="20" xfId="12" applyFont="1" applyBorder="1" applyAlignment="1">
      <alignment horizontal="left" vertical="center"/>
    </xf>
    <xf numFmtId="0" fontId="51" fillId="0" borderId="19" xfId="12" applyFont="1" applyBorder="1" applyAlignment="1">
      <alignment horizontal="left" vertical="center"/>
    </xf>
    <xf numFmtId="0" fontId="50" fillId="0" borderId="0" xfId="2" applyFont="1" applyAlignment="1">
      <alignment horizontal="center" vertical="center" wrapText="1"/>
    </xf>
    <xf numFmtId="0" fontId="4" fillId="0" borderId="0" xfId="2" applyAlignment="1">
      <alignment horizontal="center" vertical="center"/>
    </xf>
    <xf numFmtId="0" fontId="34" fillId="0" borderId="0" xfId="2" applyFont="1" applyAlignment="1">
      <alignment horizontal="center" vertical="center" wrapText="1"/>
    </xf>
    <xf numFmtId="0" fontId="34" fillId="0" borderId="0" xfId="18" applyFont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51" fillId="0" borderId="12" xfId="2" applyFont="1" applyBorder="1" applyAlignment="1">
      <alignment horizontal="center" vertical="center" wrapText="1"/>
    </xf>
    <xf numFmtId="0" fontId="49" fillId="0" borderId="17" xfId="2" applyFont="1" applyBorder="1" applyAlignment="1">
      <alignment horizontal="center" vertical="center" wrapText="1"/>
    </xf>
    <xf numFmtId="0" fontId="49" fillId="0" borderId="11" xfId="2" applyFont="1" applyBorder="1" applyAlignment="1">
      <alignment horizontal="center" vertical="center" wrapText="1"/>
    </xf>
    <xf numFmtId="0" fontId="51" fillId="0" borderId="17" xfId="2" applyFont="1" applyBorder="1" applyAlignment="1">
      <alignment horizontal="center" vertical="center" wrapText="1"/>
    </xf>
    <xf numFmtId="0" fontId="51" fillId="0" borderId="11" xfId="2" applyFont="1" applyBorder="1" applyAlignment="1">
      <alignment horizontal="center" vertical="center" wrapText="1"/>
    </xf>
    <xf numFmtId="167" fontId="49" fillId="0" borderId="12" xfId="2" applyNumberFormat="1" applyFont="1" applyBorder="1" applyAlignment="1">
      <alignment horizontal="center" vertical="center" wrapText="1"/>
    </xf>
    <xf numFmtId="167" fontId="49" fillId="0" borderId="17" xfId="2" applyNumberFormat="1" applyFont="1" applyBorder="1" applyAlignment="1">
      <alignment horizontal="center" vertical="center" wrapText="1"/>
    </xf>
    <xf numFmtId="167" fontId="49" fillId="0" borderId="11" xfId="2" applyNumberFormat="1" applyFont="1" applyBorder="1" applyAlignment="1">
      <alignment horizontal="center" vertical="center" wrapText="1"/>
    </xf>
    <xf numFmtId="167" fontId="51" fillId="0" borderId="12" xfId="2" applyNumberFormat="1" applyFont="1" applyBorder="1" applyAlignment="1">
      <alignment horizontal="center" vertical="center" wrapText="1"/>
    </xf>
    <xf numFmtId="167" fontId="51" fillId="0" borderId="17" xfId="2" applyNumberFormat="1" applyFont="1" applyBorder="1" applyAlignment="1">
      <alignment horizontal="center" vertical="center" wrapText="1"/>
    </xf>
    <xf numFmtId="167" fontId="51" fillId="0" borderId="11" xfId="2" applyNumberFormat="1" applyFont="1" applyBorder="1" applyAlignment="1">
      <alignment horizontal="center" vertical="center" wrapText="1"/>
    </xf>
    <xf numFmtId="0" fontId="4" fillId="0" borderId="0" xfId="4" applyAlignment="1">
      <alignment vertical="center" wrapText="1"/>
    </xf>
    <xf numFmtId="0" fontId="54" fillId="0" borderId="0" xfId="18" applyFont="1" applyAlignment="1">
      <alignment vertical="center" wrapText="1"/>
    </xf>
    <xf numFmtId="0" fontId="48" fillId="0" borderId="0" xfId="18" applyAlignment="1">
      <alignment vertical="center" wrapText="1"/>
    </xf>
    <xf numFmtId="0" fontId="48" fillId="0" borderId="0" xfId="18"/>
    <xf numFmtId="0" fontId="48" fillId="0" borderId="0" xfId="18" applyAlignment="1">
      <alignment wrapText="1"/>
    </xf>
    <xf numFmtId="0" fontId="6" fillId="0" borderId="12" xfId="2" applyFont="1" applyBorder="1" applyAlignment="1">
      <alignment horizontal="center" vertical="center" wrapText="1"/>
    </xf>
    <xf numFmtId="0" fontId="49" fillId="0" borderId="13" xfId="2" applyFont="1" applyBorder="1" applyAlignment="1">
      <alignment horizontal="center" vertical="center" wrapText="1"/>
    </xf>
    <xf numFmtId="0" fontId="49" fillId="0" borderId="15" xfId="2" applyFont="1" applyBorder="1" applyAlignment="1">
      <alignment horizontal="center" vertical="center" wrapText="1"/>
    </xf>
    <xf numFmtId="0" fontId="49" fillId="0" borderId="14" xfId="2" applyFont="1" applyBorder="1" applyAlignment="1">
      <alignment horizontal="center" vertical="center" wrapText="1"/>
    </xf>
    <xf numFmtId="0" fontId="49" fillId="0" borderId="60" xfId="2" applyFont="1" applyBorder="1" applyAlignment="1">
      <alignment horizontal="center" vertical="center" wrapText="1"/>
    </xf>
    <xf numFmtId="0" fontId="49" fillId="0" borderId="0" xfId="2" applyFont="1" applyAlignment="1">
      <alignment horizontal="center" vertical="center" wrapText="1"/>
    </xf>
    <xf numFmtId="0" fontId="49" fillId="0" borderId="61" xfId="2" applyFont="1" applyBorder="1" applyAlignment="1">
      <alignment horizontal="center" vertical="center" wrapText="1"/>
    </xf>
    <xf numFmtId="0" fontId="48" fillId="0" borderId="0" xfId="18" applyAlignment="1">
      <alignment horizontal="center" vertical="center" wrapText="1"/>
    </xf>
    <xf numFmtId="0" fontId="48" fillId="0" borderId="61" xfId="18" applyBorder="1" applyAlignment="1">
      <alignment horizontal="center" vertical="center" wrapText="1"/>
    </xf>
    <xf numFmtId="0" fontId="51" fillId="0" borderId="18" xfId="2" applyFont="1" applyBorder="1" applyAlignment="1">
      <alignment horizontal="left" vertical="center" wrapText="1"/>
    </xf>
    <xf numFmtId="0" fontId="51" fillId="0" borderId="20" xfId="2" applyFont="1" applyBorder="1" applyAlignment="1">
      <alignment horizontal="left" vertical="center" wrapText="1"/>
    </xf>
    <xf numFmtId="0" fontId="51" fillId="0" borderId="19" xfId="2" applyFont="1" applyBorder="1" applyAlignment="1">
      <alignment horizontal="left" vertical="center" wrapText="1"/>
    </xf>
    <xf numFmtId="0" fontId="4" fillId="0" borderId="0" xfId="4" applyAlignment="1">
      <alignment wrapText="1"/>
    </xf>
  </cellXfs>
  <cellStyles count="19">
    <cellStyle name="S10" xfId="10" xr:uid="{00000000-0005-0000-0000-000000000000}"/>
    <cellStyle name="S11" xfId="9" xr:uid="{00000000-0005-0000-0000-000001000000}"/>
    <cellStyle name="S3" xfId="11" xr:uid="{00000000-0005-0000-0000-000002000000}"/>
    <cellStyle name="S4" xfId="5" xr:uid="{00000000-0005-0000-0000-000003000000}"/>
    <cellStyle name="S5" xfId="6" xr:uid="{00000000-0005-0000-0000-000004000000}"/>
    <cellStyle name="S7" xfId="7" xr:uid="{00000000-0005-0000-0000-000005000000}"/>
    <cellStyle name="S9" xfId="8" xr:uid="{00000000-0005-0000-0000-000006000000}"/>
    <cellStyle name="Обычный" xfId="0" builtinId="0"/>
    <cellStyle name="Обычный 2" xfId="4" xr:uid="{00000000-0005-0000-0000-000008000000}"/>
    <cellStyle name="Обычный 2 3" xfId="13" xr:uid="{00000000-0005-0000-0000-000009000000}"/>
    <cellStyle name="Обычный 29 2" xfId="18" xr:uid="{BC2E9B1F-3991-4F8E-85CD-1C0D5A8F7A0B}"/>
    <cellStyle name="Обычный 3" xfId="15" xr:uid="{00000000-0005-0000-0000-00000A000000}"/>
    <cellStyle name="Обычный 3 2 2" xfId="12" xr:uid="{00000000-0005-0000-0000-00000B000000}"/>
    <cellStyle name="Обычный 3 3" xfId="3" xr:uid="{00000000-0005-0000-0000-00000C000000}"/>
    <cellStyle name="Обычный 3 3 2" xfId="1" xr:uid="{00000000-0005-0000-0000-00000D000000}"/>
    <cellStyle name="Обычный 3 3 3" xfId="14" xr:uid="{00000000-0005-0000-0000-00000E000000}"/>
    <cellStyle name="Обычный 4 2" xfId="2" xr:uid="{00000000-0005-0000-0000-00000F000000}"/>
    <cellStyle name="Обычный 56" xfId="17" xr:uid="{93E868E5-3215-4E1F-AEF9-3C54DD11A2DF}"/>
    <cellStyle name="Обычный_Санаторий сметы_реставр+проект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41"/>
  <sheetViews>
    <sheetView topLeftCell="A7" zoomScaleNormal="100" workbookViewId="0">
      <selection activeCell="C21" sqref="C21:F21"/>
    </sheetView>
  </sheetViews>
  <sheetFormatPr defaultColWidth="11.5703125" defaultRowHeight="15.75" x14ac:dyDescent="0.25"/>
  <cols>
    <col min="1" max="1" width="6.140625" style="320" customWidth="1"/>
    <col min="2" max="2" width="13.7109375" style="320" customWidth="1"/>
    <col min="3" max="3" width="59.140625" style="320" customWidth="1"/>
    <col min="4" max="4" width="16.5703125" style="320" customWidth="1"/>
    <col min="5" max="5" width="16.42578125" style="321" customWidth="1"/>
    <col min="6" max="6" width="16.5703125" style="321" customWidth="1"/>
    <col min="7" max="7" width="11.5703125" style="321"/>
    <col min="8" max="8" width="19.5703125" style="321" customWidth="1"/>
    <col min="9" max="256" width="11.5703125" style="321"/>
    <col min="257" max="257" width="6.140625" style="321" customWidth="1"/>
    <col min="258" max="258" width="14.42578125" style="321" customWidth="1"/>
    <col min="259" max="259" width="62.42578125" style="321" customWidth="1"/>
    <col min="260" max="261" width="15.85546875" style="321" customWidth="1"/>
    <col min="262" max="262" width="16" style="321" customWidth="1"/>
    <col min="263" max="512" width="11.5703125" style="321"/>
    <col min="513" max="513" width="6.140625" style="321" customWidth="1"/>
    <col min="514" max="514" width="14.42578125" style="321" customWidth="1"/>
    <col min="515" max="515" width="62.42578125" style="321" customWidth="1"/>
    <col min="516" max="517" width="15.85546875" style="321" customWidth="1"/>
    <col min="518" max="518" width="16" style="321" customWidth="1"/>
    <col min="519" max="768" width="11.5703125" style="321"/>
    <col min="769" max="769" width="6.140625" style="321" customWidth="1"/>
    <col min="770" max="770" width="14.42578125" style="321" customWidth="1"/>
    <col min="771" max="771" width="62.42578125" style="321" customWidth="1"/>
    <col min="772" max="773" width="15.85546875" style="321" customWidth="1"/>
    <col min="774" max="774" width="16" style="321" customWidth="1"/>
    <col min="775" max="1024" width="11.5703125" style="321"/>
    <col min="1025" max="1025" width="6.140625" style="321" customWidth="1"/>
    <col min="1026" max="1026" width="14.42578125" style="321" customWidth="1"/>
    <col min="1027" max="1027" width="62.42578125" style="321" customWidth="1"/>
    <col min="1028" max="1029" width="15.85546875" style="321" customWidth="1"/>
    <col min="1030" max="1030" width="16" style="321" customWidth="1"/>
    <col min="1031" max="1280" width="11.5703125" style="321"/>
    <col min="1281" max="1281" width="6.140625" style="321" customWidth="1"/>
    <col min="1282" max="1282" width="14.42578125" style="321" customWidth="1"/>
    <col min="1283" max="1283" width="62.42578125" style="321" customWidth="1"/>
    <col min="1284" max="1285" width="15.85546875" style="321" customWidth="1"/>
    <col min="1286" max="1286" width="16" style="321" customWidth="1"/>
    <col min="1287" max="1536" width="11.5703125" style="321"/>
    <col min="1537" max="1537" width="6.140625" style="321" customWidth="1"/>
    <col min="1538" max="1538" width="14.42578125" style="321" customWidth="1"/>
    <col min="1539" max="1539" width="62.42578125" style="321" customWidth="1"/>
    <col min="1540" max="1541" width="15.85546875" style="321" customWidth="1"/>
    <col min="1542" max="1542" width="16" style="321" customWidth="1"/>
    <col min="1543" max="1792" width="11.5703125" style="321"/>
    <col min="1793" max="1793" width="6.140625" style="321" customWidth="1"/>
    <col min="1794" max="1794" width="14.42578125" style="321" customWidth="1"/>
    <col min="1795" max="1795" width="62.42578125" style="321" customWidth="1"/>
    <col min="1796" max="1797" width="15.85546875" style="321" customWidth="1"/>
    <col min="1798" max="1798" width="16" style="321" customWidth="1"/>
    <col min="1799" max="2048" width="11.5703125" style="321"/>
    <col min="2049" max="2049" width="6.140625" style="321" customWidth="1"/>
    <col min="2050" max="2050" width="14.42578125" style="321" customWidth="1"/>
    <col min="2051" max="2051" width="62.42578125" style="321" customWidth="1"/>
    <col min="2052" max="2053" width="15.85546875" style="321" customWidth="1"/>
    <col min="2054" max="2054" width="16" style="321" customWidth="1"/>
    <col min="2055" max="2304" width="11.5703125" style="321"/>
    <col min="2305" max="2305" width="6.140625" style="321" customWidth="1"/>
    <col min="2306" max="2306" width="14.42578125" style="321" customWidth="1"/>
    <col min="2307" max="2307" width="62.42578125" style="321" customWidth="1"/>
    <col min="2308" max="2309" width="15.85546875" style="321" customWidth="1"/>
    <col min="2310" max="2310" width="16" style="321" customWidth="1"/>
    <col min="2311" max="2560" width="11.5703125" style="321"/>
    <col min="2561" max="2561" width="6.140625" style="321" customWidth="1"/>
    <col min="2562" max="2562" width="14.42578125" style="321" customWidth="1"/>
    <col min="2563" max="2563" width="62.42578125" style="321" customWidth="1"/>
    <col min="2564" max="2565" width="15.85546875" style="321" customWidth="1"/>
    <col min="2566" max="2566" width="16" style="321" customWidth="1"/>
    <col min="2567" max="2816" width="11.5703125" style="321"/>
    <col min="2817" max="2817" width="6.140625" style="321" customWidth="1"/>
    <col min="2818" max="2818" width="14.42578125" style="321" customWidth="1"/>
    <col min="2819" max="2819" width="62.42578125" style="321" customWidth="1"/>
    <col min="2820" max="2821" width="15.85546875" style="321" customWidth="1"/>
    <col min="2822" max="2822" width="16" style="321" customWidth="1"/>
    <col min="2823" max="3072" width="11.5703125" style="321"/>
    <col min="3073" max="3073" width="6.140625" style="321" customWidth="1"/>
    <col min="3074" max="3074" width="14.42578125" style="321" customWidth="1"/>
    <col min="3075" max="3075" width="62.42578125" style="321" customWidth="1"/>
    <col min="3076" max="3077" width="15.85546875" style="321" customWidth="1"/>
    <col min="3078" max="3078" width="16" style="321" customWidth="1"/>
    <col min="3079" max="3328" width="11.5703125" style="321"/>
    <col min="3329" max="3329" width="6.140625" style="321" customWidth="1"/>
    <col min="3330" max="3330" width="14.42578125" style="321" customWidth="1"/>
    <col min="3331" max="3331" width="62.42578125" style="321" customWidth="1"/>
    <col min="3332" max="3333" width="15.85546875" style="321" customWidth="1"/>
    <col min="3334" max="3334" width="16" style="321" customWidth="1"/>
    <col min="3335" max="3584" width="11.5703125" style="321"/>
    <col min="3585" max="3585" width="6.140625" style="321" customWidth="1"/>
    <col min="3586" max="3586" width="14.42578125" style="321" customWidth="1"/>
    <col min="3587" max="3587" width="62.42578125" style="321" customWidth="1"/>
    <col min="3588" max="3589" width="15.85546875" style="321" customWidth="1"/>
    <col min="3590" max="3590" width="16" style="321" customWidth="1"/>
    <col min="3591" max="3840" width="11.5703125" style="321"/>
    <col min="3841" max="3841" width="6.140625" style="321" customWidth="1"/>
    <col min="3842" max="3842" width="14.42578125" style="321" customWidth="1"/>
    <col min="3843" max="3843" width="62.42578125" style="321" customWidth="1"/>
    <col min="3844" max="3845" width="15.85546875" style="321" customWidth="1"/>
    <col min="3846" max="3846" width="16" style="321" customWidth="1"/>
    <col min="3847" max="4096" width="11.5703125" style="321"/>
    <col min="4097" max="4097" width="6.140625" style="321" customWidth="1"/>
    <col min="4098" max="4098" width="14.42578125" style="321" customWidth="1"/>
    <col min="4099" max="4099" width="62.42578125" style="321" customWidth="1"/>
    <col min="4100" max="4101" width="15.85546875" style="321" customWidth="1"/>
    <col min="4102" max="4102" width="16" style="321" customWidth="1"/>
    <col min="4103" max="4352" width="11.5703125" style="321"/>
    <col min="4353" max="4353" width="6.140625" style="321" customWidth="1"/>
    <col min="4354" max="4354" width="14.42578125" style="321" customWidth="1"/>
    <col min="4355" max="4355" width="62.42578125" style="321" customWidth="1"/>
    <col min="4356" max="4357" width="15.85546875" style="321" customWidth="1"/>
    <col min="4358" max="4358" width="16" style="321" customWidth="1"/>
    <col min="4359" max="4608" width="11.5703125" style="321"/>
    <col min="4609" max="4609" width="6.140625" style="321" customWidth="1"/>
    <col min="4610" max="4610" width="14.42578125" style="321" customWidth="1"/>
    <col min="4611" max="4611" width="62.42578125" style="321" customWidth="1"/>
    <col min="4612" max="4613" width="15.85546875" style="321" customWidth="1"/>
    <col min="4614" max="4614" width="16" style="321" customWidth="1"/>
    <col min="4615" max="4864" width="11.5703125" style="321"/>
    <col min="4865" max="4865" width="6.140625" style="321" customWidth="1"/>
    <col min="4866" max="4866" width="14.42578125" style="321" customWidth="1"/>
    <col min="4867" max="4867" width="62.42578125" style="321" customWidth="1"/>
    <col min="4868" max="4869" width="15.85546875" style="321" customWidth="1"/>
    <col min="4870" max="4870" width="16" style="321" customWidth="1"/>
    <col min="4871" max="5120" width="11.5703125" style="321"/>
    <col min="5121" max="5121" width="6.140625" style="321" customWidth="1"/>
    <col min="5122" max="5122" width="14.42578125" style="321" customWidth="1"/>
    <col min="5123" max="5123" width="62.42578125" style="321" customWidth="1"/>
    <col min="5124" max="5125" width="15.85546875" style="321" customWidth="1"/>
    <col min="5126" max="5126" width="16" style="321" customWidth="1"/>
    <col min="5127" max="5376" width="11.5703125" style="321"/>
    <col min="5377" max="5377" width="6.140625" style="321" customWidth="1"/>
    <col min="5378" max="5378" width="14.42578125" style="321" customWidth="1"/>
    <col min="5379" max="5379" width="62.42578125" style="321" customWidth="1"/>
    <col min="5380" max="5381" width="15.85546875" style="321" customWidth="1"/>
    <col min="5382" max="5382" width="16" style="321" customWidth="1"/>
    <col min="5383" max="5632" width="11.5703125" style="321"/>
    <col min="5633" max="5633" width="6.140625" style="321" customWidth="1"/>
    <col min="5634" max="5634" width="14.42578125" style="321" customWidth="1"/>
    <col min="5635" max="5635" width="62.42578125" style="321" customWidth="1"/>
    <col min="5636" max="5637" width="15.85546875" style="321" customWidth="1"/>
    <col min="5638" max="5638" width="16" style="321" customWidth="1"/>
    <col min="5639" max="5888" width="11.5703125" style="321"/>
    <col min="5889" max="5889" width="6.140625" style="321" customWidth="1"/>
    <col min="5890" max="5890" width="14.42578125" style="321" customWidth="1"/>
    <col min="5891" max="5891" width="62.42578125" style="321" customWidth="1"/>
    <col min="5892" max="5893" width="15.85546875" style="321" customWidth="1"/>
    <col min="5894" max="5894" width="16" style="321" customWidth="1"/>
    <col min="5895" max="6144" width="11.5703125" style="321"/>
    <col min="6145" max="6145" width="6.140625" style="321" customWidth="1"/>
    <col min="6146" max="6146" width="14.42578125" style="321" customWidth="1"/>
    <col min="6147" max="6147" width="62.42578125" style="321" customWidth="1"/>
    <col min="6148" max="6149" width="15.85546875" style="321" customWidth="1"/>
    <col min="6150" max="6150" width="16" style="321" customWidth="1"/>
    <col min="6151" max="6400" width="11.5703125" style="321"/>
    <col min="6401" max="6401" width="6.140625" style="321" customWidth="1"/>
    <col min="6402" max="6402" width="14.42578125" style="321" customWidth="1"/>
    <col min="6403" max="6403" width="62.42578125" style="321" customWidth="1"/>
    <col min="6404" max="6405" width="15.85546875" style="321" customWidth="1"/>
    <col min="6406" max="6406" width="16" style="321" customWidth="1"/>
    <col min="6407" max="6656" width="11.5703125" style="321"/>
    <col min="6657" max="6657" width="6.140625" style="321" customWidth="1"/>
    <col min="6658" max="6658" width="14.42578125" style="321" customWidth="1"/>
    <col min="6659" max="6659" width="62.42578125" style="321" customWidth="1"/>
    <col min="6660" max="6661" width="15.85546875" style="321" customWidth="1"/>
    <col min="6662" max="6662" width="16" style="321" customWidth="1"/>
    <col min="6663" max="6912" width="11.5703125" style="321"/>
    <col min="6913" max="6913" width="6.140625" style="321" customWidth="1"/>
    <col min="6914" max="6914" width="14.42578125" style="321" customWidth="1"/>
    <col min="6915" max="6915" width="62.42578125" style="321" customWidth="1"/>
    <col min="6916" max="6917" width="15.85546875" style="321" customWidth="1"/>
    <col min="6918" max="6918" width="16" style="321" customWidth="1"/>
    <col min="6919" max="7168" width="11.5703125" style="321"/>
    <col min="7169" max="7169" width="6.140625" style="321" customWidth="1"/>
    <col min="7170" max="7170" width="14.42578125" style="321" customWidth="1"/>
    <col min="7171" max="7171" width="62.42578125" style="321" customWidth="1"/>
    <col min="7172" max="7173" width="15.85546875" style="321" customWidth="1"/>
    <col min="7174" max="7174" width="16" style="321" customWidth="1"/>
    <col min="7175" max="7424" width="11.5703125" style="321"/>
    <col min="7425" max="7425" width="6.140625" style="321" customWidth="1"/>
    <col min="7426" max="7426" width="14.42578125" style="321" customWidth="1"/>
    <col min="7427" max="7427" width="62.42578125" style="321" customWidth="1"/>
    <col min="7428" max="7429" width="15.85546875" style="321" customWidth="1"/>
    <col min="7430" max="7430" width="16" style="321" customWidth="1"/>
    <col min="7431" max="7680" width="11.5703125" style="321"/>
    <col min="7681" max="7681" width="6.140625" style="321" customWidth="1"/>
    <col min="7682" max="7682" width="14.42578125" style="321" customWidth="1"/>
    <col min="7683" max="7683" width="62.42578125" style="321" customWidth="1"/>
    <col min="7684" max="7685" width="15.85546875" style="321" customWidth="1"/>
    <col min="7686" max="7686" width="16" style="321" customWidth="1"/>
    <col min="7687" max="7936" width="11.5703125" style="321"/>
    <col min="7937" max="7937" width="6.140625" style="321" customWidth="1"/>
    <col min="7938" max="7938" width="14.42578125" style="321" customWidth="1"/>
    <col min="7939" max="7939" width="62.42578125" style="321" customWidth="1"/>
    <col min="7940" max="7941" width="15.85546875" style="321" customWidth="1"/>
    <col min="7942" max="7942" width="16" style="321" customWidth="1"/>
    <col min="7943" max="8192" width="11.5703125" style="321"/>
    <col min="8193" max="8193" width="6.140625" style="321" customWidth="1"/>
    <col min="8194" max="8194" width="14.42578125" style="321" customWidth="1"/>
    <col min="8195" max="8195" width="62.42578125" style="321" customWidth="1"/>
    <col min="8196" max="8197" width="15.85546875" style="321" customWidth="1"/>
    <col min="8198" max="8198" width="16" style="321" customWidth="1"/>
    <col min="8199" max="8448" width="11.5703125" style="321"/>
    <col min="8449" max="8449" width="6.140625" style="321" customWidth="1"/>
    <col min="8450" max="8450" width="14.42578125" style="321" customWidth="1"/>
    <col min="8451" max="8451" width="62.42578125" style="321" customWidth="1"/>
    <col min="8452" max="8453" width="15.85546875" style="321" customWidth="1"/>
    <col min="8454" max="8454" width="16" style="321" customWidth="1"/>
    <col min="8455" max="8704" width="11.5703125" style="321"/>
    <col min="8705" max="8705" width="6.140625" style="321" customWidth="1"/>
    <col min="8706" max="8706" width="14.42578125" style="321" customWidth="1"/>
    <col min="8707" max="8707" width="62.42578125" style="321" customWidth="1"/>
    <col min="8708" max="8709" width="15.85546875" style="321" customWidth="1"/>
    <col min="8710" max="8710" width="16" style="321" customWidth="1"/>
    <col min="8711" max="8960" width="11.5703125" style="321"/>
    <col min="8961" max="8961" width="6.140625" style="321" customWidth="1"/>
    <col min="8962" max="8962" width="14.42578125" style="321" customWidth="1"/>
    <col min="8963" max="8963" width="62.42578125" style="321" customWidth="1"/>
    <col min="8964" max="8965" width="15.85546875" style="321" customWidth="1"/>
    <col min="8966" max="8966" width="16" style="321" customWidth="1"/>
    <col min="8967" max="9216" width="11.5703125" style="321"/>
    <col min="9217" max="9217" width="6.140625" style="321" customWidth="1"/>
    <col min="9218" max="9218" width="14.42578125" style="321" customWidth="1"/>
    <col min="9219" max="9219" width="62.42578125" style="321" customWidth="1"/>
    <col min="9220" max="9221" width="15.85546875" style="321" customWidth="1"/>
    <col min="9222" max="9222" width="16" style="321" customWidth="1"/>
    <col min="9223" max="9472" width="11.5703125" style="321"/>
    <col min="9473" max="9473" width="6.140625" style="321" customWidth="1"/>
    <col min="9474" max="9474" width="14.42578125" style="321" customWidth="1"/>
    <col min="9475" max="9475" width="62.42578125" style="321" customWidth="1"/>
    <col min="9476" max="9477" width="15.85546875" style="321" customWidth="1"/>
    <col min="9478" max="9478" width="16" style="321" customWidth="1"/>
    <col min="9479" max="9728" width="11.5703125" style="321"/>
    <col min="9729" max="9729" width="6.140625" style="321" customWidth="1"/>
    <col min="9730" max="9730" width="14.42578125" style="321" customWidth="1"/>
    <col min="9731" max="9731" width="62.42578125" style="321" customWidth="1"/>
    <col min="9732" max="9733" width="15.85546875" style="321" customWidth="1"/>
    <col min="9734" max="9734" width="16" style="321" customWidth="1"/>
    <col min="9735" max="9984" width="11.5703125" style="321"/>
    <col min="9985" max="9985" width="6.140625" style="321" customWidth="1"/>
    <col min="9986" max="9986" width="14.42578125" style="321" customWidth="1"/>
    <col min="9987" max="9987" width="62.42578125" style="321" customWidth="1"/>
    <col min="9988" max="9989" width="15.85546875" style="321" customWidth="1"/>
    <col min="9990" max="9990" width="16" style="321" customWidth="1"/>
    <col min="9991" max="10240" width="11.5703125" style="321"/>
    <col min="10241" max="10241" width="6.140625" style="321" customWidth="1"/>
    <col min="10242" max="10242" width="14.42578125" style="321" customWidth="1"/>
    <col min="10243" max="10243" width="62.42578125" style="321" customWidth="1"/>
    <col min="10244" max="10245" width="15.85546875" style="321" customWidth="1"/>
    <col min="10246" max="10246" width="16" style="321" customWidth="1"/>
    <col min="10247" max="10496" width="11.5703125" style="321"/>
    <col min="10497" max="10497" width="6.140625" style="321" customWidth="1"/>
    <col min="10498" max="10498" width="14.42578125" style="321" customWidth="1"/>
    <col min="10499" max="10499" width="62.42578125" style="321" customWidth="1"/>
    <col min="10500" max="10501" width="15.85546875" style="321" customWidth="1"/>
    <col min="10502" max="10502" width="16" style="321" customWidth="1"/>
    <col min="10503" max="10752" width="11.5703125" style="321"/>
    <col min="10753" max="10753" width="6.140625" style="321" customWidth="1"/>
    <col min="10754" max="10754" width="14.42578125" style="321" customWidth="1"/>
    <col min="10755" max="10755" width="62.42578125" style="321" customWidth="1"/>
    <col min="10756" max="10757" width="15.85546875" style="321" customWidth="1"/>
    <col min="10758" max="10758" width="16" style="321" customWidth="1"/>
    <col min="10759" max="11008" width="11.5703125" style="321"/>
    <col min="11009" max="11009" width="6.140625" style="321" customWidth="1"/>
    <col min="11010" max="11010" width="14.42578125" style="321" customWidth="1"/>
    <col min="11011" max="11011" width="62.42578125" style="321" customWidth="1"/>
    <col min="11012" max="11013" width="15.85546875" style="321" customWidth="1"/>
    <col min="11014" max="11014" width="16" style="321" customWidth="1"/>
    <col min="11015" max="11264" width="11.5703125" style="321"/>
    <col min="11265" max="11265" width="6.140625" style="321" customWidth="1"/>
    <col min="11266" max="11266" width="14.42578125" style="321" customWidth="1"/>
    <col min="11267" max="11267" width="62.42578125" style="321" customWidth="1"/>
    <col min="11268" max="11269" width="15.85546875" style="321" customWidth="1"/>
    <col min="11270" max="11270" width="16" style="321" customWidth="1"/>
    <col min="11271" max="11520" width="11.5703125" style="321"/>
    <col min="11521" max="11521" width="6.140625" style="321" customWidth="1"/>
    <col min="11522" max="11522" width="14.42578125" style="321" customWidth="1"/>
    <col min="11523" max="11523" width="62.42578125" style="321" customWidth="1"/>
    <col min="11524" max="11525" width="15.85546875" style="321" customWidth="1"/>
    <col min="11526" max="11526" width="16" style="321" customWidth="1"/>
    <col min="11527" max="11776" width="11.5703125" style="321"/>
    <col min="11777" max="11777" width="6.140625" style="321" customWidth="1"/>
    <col min="11778" max="11778" width="14.42578125" style="321" customWidth="1"/>
    <col min="11779" max="11779" width="62.42578125" style="321" customWidth="1"/>
    <col min="11780" max="11781" width="15.85546875" style="321" customWidth="1"/>
    <col min="11782" max="11782" width="16" style="321" customWidth="1"/>
    <col min="11783" max="12032" width="11.5703125" style="321"/>
    <col min="12033" max="12033" width="6.140625" style="321" customWidth="1"/>
    <col min="12034" max="12034" width="14.42578125" style="321" customWidth="1"/>
    <col min="12035" max="12035" width="62.42578125" style="321" customWidth="1"/>
    <col min="12036" max="12037" width="15.85546875" style="321" customWidth="1"/>
    <col min="12038" max="12038" width="16" style="321" customWidth="1"/>
    <col min="12039" max="12288" width="11.5703125" style="321"/>
    <col min="12289" max="12289" width="6.140625" style="321" customWidth="1"/>
    <col min="12290" max="12290" width="14.42578125" style="321" customWidth="1"/>
    <col min="12291" max="12291" width="62.42578125" style="321" customWidth="1"/>
    <col min="12292" max="12293" width="15.85546875" style="321" customWidth="1"/>
    <col min="12294" max="12294" width="16" style="321" customWidth="1"/>
    <col min="12295" max="12544" width="11.5703125" style="321"/>
    <col min="12545" max="12545" width="6.140625" style="321" customWidth="1"/>
    <col min="12546" max="12546" width="14.42578125" style="321" customWidth="1"/>
    <col min="12547" max="12547" width="62.42578125" style="321" customWidth="1"/>
    <col min="12548" max="12549" width="15.85546875" style="321" customWidth="1"/>
    <col min="12550" max="12550" width="16" style="321" customWidth="1"/>
    <col min="12551" max="12800" width="11.5703125" style="321"/>
    <col min="12801" max="12801" width="6.140625" style="321" customWidth="1"/>
    <col min="12802" max="12802" width="14.42578125" style="321" customWidth="1"/>
    <col min="12803" max="12803" width="62.42578125" style="321" customWidth="1"/>
    <col min="12804" max="12805" width="15.85546875" style="321" customWidth="1"/>
    <col min="12806" max="12806" width="16" style="321" customWidth="1"/>
    <col min="12807" max="13056" width="11.5703125" style="321"/>
    <col min="13057" max="13057" width="6.140625" style="321" customWidth="1"/>
    <col min="13058" max="13058" width="14.42578125" style="321" customWidth="1"/>
    <col min="13059" max="13059" width="62.42578125" style="321" customWidth="1"/>
    <col min="13060" max="13061" width="15.85546875" style="321" customWidth="1"/>
    <col min="13062" max="13062" width="16" style="321" customWidth="1"/>
    <col min="13063" max="13312" width="11.5703125" style="321"/>
    <col min="13313" max="13313" width="6.140625" style="321" customWidth="1"/>
    <col min="13314" max="13314" width="14.42578125" style="321" customWidth="1"/>
    <col min="13315" max="13315" width="62.42578125" style="321" customWidth="1"/>
    <col min="13316" max="13317" width="15.85546875" style="321" customWidth="1"/>
    <col min="13318" max="13318" width="16" style="321" customWidth="1"/>
    <col min="13319" max="13568" width="11.5703125" style="321"/>
    <col min="13569" max="13569" width="6.140625" style="321" customWidth="1"/>
    <col min="13570" max="13570" width="14.42578125" style="321" customWidth="1"/>
    <col min="13571" max="13571" width="62.42578125" style="321" customWidth="1"/>
    <col min="13572" max="13573" width="15.85546875" style="321" customWidth="1"/>
    <col min="13574" max="13574" width="16" style="321" customWidth="1"/>
    <col min="13575" max="13824" width="11.5703125" style="321"/>
    <col min="13825" max="13825" width="6.140625" style="321" customWidth="1"/>
    <col min="13826" max="13826" width="14.42578125" style="321" customWidth="1"/>
    <col min="13827" max="13827" width="62.42578125" style="321" customWidth="1"/>
    <col min="13828" max="13829" width="15.85546875" style="321" customWidth="1"/>
    <col min="13830" max="13830" width="16" style="321" customWidth="1"/>
    <col min="13831" max="14080" width="11.5703125" style="321"/>
    <col min="14081" max="14081" width="6.140625" style="321" customWidth="1"/>
    <col min="14082" max="14082" width="14.42578125" style="321" customWidth="1"/>
    <col min="14083" max="14083" width="62.42578125" style="321" customWidth="1"/>
    <col min="14084" max="14085" width="15.85546875" style="321" customWidth="1"/>
    <col min="14086" max="14086" width="16" style="321" customWidth="1"/>
    <col min="14087" max="14336" width="11.5703125" style="321"/>
    <col min="14337" max="14337" width="6.140625" style="321" customWidth="1"/>
    <col min="14338" max="14338" width="14.42578125" style="321" customWidth="1"/>
    <col min="14339" max="14339" width="62.42578125" style="321" customWidth="1"/>
    <col min="14340" max="14341" width="15.85546875" style="321" customWidth="1"/>
    <col min="14342" max="14342" width="16" style="321" customWidth="1"/>
    <col min="14343" max="14592" width="11.5703125" style="321"/>
    <col min="14593" max="14593" width="6.140625" style="321" customWidth="1"/>
    <col min="14594" max="14594" width="14.42578125" style="321" customWidth="1"/>
    <col min="14595" max="14595" width="62.42578125" style="321" customWidth="1"/>
    <col min="14596" max="14597" width="15.85546875" style="321" customWidth="1"/>
    <col min="14598" max="14598" width="16" style="321" customWidth="1"/>
    <col min="14599" max="14848" width="11.5703125" style="321"/>
    <col min="14849" max="14849" width="6.140625" style="321" customWidth="1"/>
    <col min="14850" max="14850" width="14.42578125" style="321" customWidth="1"/>
    <col min="14851" max="14851" width="62.42578125" style="321" customWidth="1"/>
    <col min="14852" max="14853" width="15.85546875" style="321" customWidth="1"/>
    <col min="14854" max="14854" width="16" style="321" customWidth="1"/>
    <col min="14855" max="15104" width="11.5703125" style="321"/>
    <col min="15105" max="15105" width="6.140625" style="321" customWidth="1"/>
    <col min="15106" max="15106" width="14.42578125" style="321" customWidth="1"/>
    <col min="15107" max="15107" width="62.42578125" style="321" customWidth="1"/>
    <col min="15108" max="15109" width="15.85546875" style="321" customWidth="1"/>
    <col min="15110" max="15110" width="16" style="321" customWidth="1"/>
    <col min="15111" max="15360" width="11.5703125" style="321"/>
    <col min="15361" max="15361" width="6.140625" style="321" customWidth="1"/>
    <col min="15362" max="15362" width="14.42578125" style="321" customWidth="1"/>
    <col min="15363" max="15363" width="62.42578125" style="321" customWidth="1"/>
    <col min="15364" max="15365" width="15.85546875" style="321" customWidth="1"/>
    <col min="15366" max="15366" width="16" style="321" customWidth="1"/>
    <col min="15367" max="15616" width="11.5703125" style="321"/>
    <col min="15617" max="15617" width="6.140625" style="321" customWidth="1"/>
    <col min="15618" max="15618" width="14.42578125" style="321" customWidth="1"/>
    <col min="15619" max="15619" width="62.42578125" style="321" customWidth="1"/>
    <col min="15620" max="15621" width="15.85546875" style="321" customWidth="1"/>
    <col min="15622" max="15622" width="16" style="321" customWidth="1"/>
    <col min="15623" max="15872" width="11.5703125" style="321"/>
    <col min="15873" max="15873" width="6.140625" style="321" customWidth="1"/>
    <col min="15874" max="15874" width="14.42578125" style="321" customWidth="1"/>
    <col min="15875" max="15875" width="62.42578125" style="321" customWidth="1"/>
    <col min="15876" max="15877" width="15.85546875" style="321" customWidth="1"/>
    <col min="15878" max="15878" width="16" style="321" customWidth="1"/>
    <col min="15879" max="16128" width="11.5703125" style="321"/>
    <col min="16129" max="16129" width="6.140625" style="321" customWidth="1"/>
    <col min="16130" max="16130" width="14.42578125" style="321" customWidth="1"/>
    <col min="16131" max="16131" width="62.42578125" style="321" customWidth="1"/>
    <col min="16132" max="16133" width="15.85546875" style="321" customWidth="1"/>
    <col min="16134" max="16134" width="16" style="321" customWidth="1"/>
    <col min="16135" max="16384" width="11.5703125" style="321"/>
  </cols>
  <sheetData>
    <row r="1" spans="1:6" ht="18.75" customHeight="1" x14ac:dyDescent="0.25">
      <c r="D1" s="397" t="s">
        <v>0</v>
      </c>
      <c r="E1" s="398"/>
      <c r="F1" s="398"/>
    </row>
    <row r="2" spans="1:6" ht="15" customHeight="1" x14ac:dyDescent="0.25">
      <c r="A2" s="1"/>
      <c r="B2" s="1"/>
      <c r="C2" s="1"/>
      <c r="D2" s="399" t="s">
        <v>1</v>
      </c>
      <c r="E2" s="400"/>
      <c r="F2" s="400"/>
    </row>
    <row r="3" spans="1:6" ht="15.75" customHeight="1" x14ac:dyDescent="0.25">
      <c r="A3" s="1"/>
      <c r="B3" s="1"/>
      <c r="C3" s="1"/>
      <c r="D3" s="399" t="s">
        <v>2</v>
      </c>
      <c r="E3" s="400"/>
      <c r="F3" s="400"/>
    </row>
    <row r="4" spans="1:6" ht="16.5" customHeight="1" x14ac:dyDescent="0.25">
      <c r="A4" s="1"/>
      <c r="B4" s="1"/>
      <c r="C4" s="1"/>
      <c r="D4" s="399" t="s">
        <v>3</v>
      </c>
      <c r="E4" s="400"/>
      <c r="F4" s="400"/>
    </row>
    <row r="5" spans="1:6" ht="20.25" customHeight="1" x14ac:dyDescent="0.25">
      <c r="A5" s="1"/>
      <c r="B5" s="1"/>
      <c r="C5" s="1"/>
      <c r="D5" s="399" t="s">
        <v>4</v>
      </c>
      <c r="E5" s="400"/>
      <c r="F5" s="400"/>
    </row>
    <row r="6" spans="1:6" ht="16.5" customHeight="1" x14ac:dyDescent="0.25">
      <c r="A6" s="1"/>
      <c r="B6" s="1"/>
      <c r="C6" s="1"/>
      <c r="D6" s="396"/>
      <c r="E6" s="395"/>
      <c r="F6" s="395"/>
    </row>
    <row r="7" spans="1:6" ht="31.5" customHeight="1" x14ac:dyDescent="0.25">
      <c r="A7" s="1"/>
      <c r="B7" s="1"/>
      <c r="C7" s="1"/>
      <c r="D7" s="394" t="s">
        <v>538</v>
      </c>
      <c r="E7" s="395"/>
      <c r="F7" s="395"/>
    </row>
    <row r="8" spans="1:6" ht="21" customHeight="1" x14ac:dyDescent="0.25">
      <c r="A8" s="1"/>
      <c r="B8" s="1"/>
      <c r="C8" s="1"/>
      <c r="D8" s="331"/>
      <c r="E8" s="332"/>
      <c r="F8" s="332"/>
    </row>
    <row r="9" spans="1:6" ht="17.25" customHeight="1" x14ac:dyDescent="0.25">
      <c r="A9" s="1"/>
      <c r="B9" s="382" t="s">
        <v>5</v>
      </c>
      <c r="C9" s="383"/>
      <c r="D9" s="383"/>
      <c r="E9" s="383"/>
      <c r="F9" s="383"/>
    </row>
    <row r="10" spans="1:6" ht="69.75" customHeight="1" x14ac:dyDescent="0.25">
      <c r="A10" s="384" t="s">
        <v>61</v>
      </c>
      <c r="B10" s="384"/>
      <c r="C10" s="384"/>
      <c r="D10" s="385"/>
      <c r="E10" s="385"/>
      <c r="F10" s="385"/>
    </row>
    <row r="11" spans="1:6" ht="11.25" customHeight="1" x14ac:dyDescent="0.25">
      <c r="A11" s="317"/>
      <c r="B11" s="317"/>
      <c r="C11" s="2"/>
      <c r="D11" s="317"/>
      <c r="E11" s="317"/>
      <c r="F11" s="317"/>
    </row>
    <row r="12" spans="1:6" ht="17.25" customHeight="1" thickBot="1" x14ac:dyDescent="0.3">
      <c r="A12" s="393" t="s">
        <v>494</v>
      </c>
      <c r="B12" s="393"/>
      <c r="C12" s="393"/>
      <c r="D12" s="393"/>
      <c r="E12" s="329">
        <f>F25</f>
        <v>4916735.2039455082</v>
      </c>
      <c r="F12" s="330" t="s">
        <v>459</v>
      </c>
    </row>
    <row r="13" spans="1:6" ht="32.25" customHeight="1" x14ac:dyDescent="0.25">
      <c r="A13" s="386" t="s">
        <v>6</v>
      </c>
      <c r="B13" s="388" t="s">
        <v>7</v>
      </c>
      <c r="C13" s="388" t="s">
        <v>8</v>
      </c>
      <c r="D13" s="390" t="s">
        <v>9</v>
      </c>
      <c r="E13" s="391"/>
      <c r="F13" s="392"/>
    </row>
    <row r="14" spans="1:6" ht="19.5" customHeight="1" thickBot="1" x14ac:dyDescent="0.3">
      <c r="A14" s="387"/>
      <c r="B14" s="389"/>
      <c r="C14" s="389"/>
      <c r="D14" s="319" t="s">
        <v>10</v>
      </c>
      <c r="E14" s="319" t="s">
        <v>11</v>
      </c>
      <c r="F14" s="3" t="s">
        <v>12</v>
      </c>
    </row>
    <row r="15" spans="1:6" ht="15.75" customHeight="1" x14ac:dyDescent="0.25">
      <c r="A15" s="4" t="s">
        <v>13</v>
      </c>
      <c r="B15" s="4" t="s">
        <v>14</v>
      </c>
      <c r="C15" s="5" t="s">
        <v>15</v>
      </c>
      <c r="D15" s="6">
        <v>4</v>
      </c>
      <c r="E15" s="6">
        <v>5</v>
      </c>
      <c r="F15" s="7">
        <v>6</v>
      </c>
    </row>
    <row r="16" spans="1:6" ht="17.25" customHeight="1" x14ac:dyDescent="0.25">
      <c r="A16" s="8" t="s">
        <v>13</v>
      </c>
      <c r="B16" s="9" t="s">
        <v>16</v>
      </c>
      <c r="C16" s="10" t="s">
        <v>49</v>
      </c>
      <c r="D16" s="11">
        <f>'Инж геодезия'!M52</f>
        <v>6547.48106532171</v>
      </c>
      <c r="E16" s="11">
        <v>0</v>
      </c>
      <c r="F16" s="11">
        <f>D16</f>
        <v>6547.48106532171</v>
      </c>
    </row>
    <row r="17" spans="1:254" ht="17.25" customHeight="1" x14ac:dyDescent="0.25">
      <c r="A17" s="8" t="s">
        <v>14</v>
      </c>
      <c r="B17" s="9" t="s">
        <v>444</v>
      </c>
      <c r="C17" s="10" t="s">
        <v>17</v>
      </c>
      <c r="D17" s="11">
        <f>'Инж геология'!M85</f>
        <v>476718.70595408429</v>
      </c>
      <c r="E17" s="11">
        <v>0</v>
      </c>
      <c r="F17" s="11">
        <f>D17</f>
        <v>476718.70595408429</v>
      </c>
    </row>
    <row r="18" spans="1:254" ht="17.25" customHeight="1" x14ac:dyDescent="0.25">
      <c r="A18" s="8" t="s">
        <v>15</v>
      </c>
      <c r="B18" s="9" t="s">
        <v>445</v>
      </c>
      <c r="C18" s="10" t="s">
        <v>446</v>
      </c>
      <c r="D18" s="11">
        <v>0</v>
      </c>
      <c r="E18" s="11">
        <f>НПД!G117</f>
        <v>1107185.0913077199</v>
      </c>
      <c r="F18" s="11">
        <f>E18</f>
        <v>1107185.0913077199</v>
      </c>
    </row>
    <row r="19" spans="1:254" ht="17.25" customHeight="1" x14ac:dyDescent="0.25">
      <c r="A19" s="8" t="s">
        <v>447</v>
      </c>
      <c r="B19" s="9" t="s">
        <v>448</v>
      </c>
      <c r="C19" s="10" t="s">
        <v>370</v>
      </c>
      <c r="D19" s="11">
        <v>0</v>
      </c>
      <c r="E19" s="11">
        <f>'П+РД'!G81</f>
        <v>2068294.5529920002</v>
      </c>
      <c r="F19" s="11">
        <f>E19</f>
        <v>2068294.5529920002</v>
      </c>
    </row>
    <row r="20" spans="1:254" ht="17.25" customHeight="1" x14ac:dyDescent="0.25">
      <c r="A20" s="8" t="s">
        <v>449</v>
      </c>
      <c r="B20" s="9" t="s">
        <v>450</v>
      </c>
      <c r="C20" s="10" t="s">
        <v>433</v>
      </c>
      <c r="D20" s="11">
        <v>0</v>
      </c>
      <c r="E20" s="11">
        <f>ИКЭ!G24</f>
        <v>480769.2</v>
      </c>
      <c r="F20" s="11">
        <f>E20</f>
        <v>480769.2</v>
      </c>
    </row>
    <row r="21" spans="1:254" ht="48" customHeight="1" x14ac:dyDescent="0.25">
      <c r="A21" s="8" t="s">
        <v>453</v>
      </c>
      <c r="B21" s="9" t="s">
        <v>523</v>
      </c>
      <c r="C21" s="10" t="s">
        <v>496</v>
      </c>
      <c r="D21" s="11">
        <v>0</v>
      </c>
      <c r="E21" s="11">
        <f>'Сохр ОКН археол'!G25</f>
        <v>254624</v>
      </c>
      <c r="F21" s="11">
        <f>D21+E21</f>
        <v>254624</v>
      </c>
    </row>
    <row r="22" spans="1:254" ht="31.5" customHeight="1" x14ac:dyDescent="0.25">
      <c r="A22" s="8" t="s">
        <v>454</v>
      </c>
      <c r="B22" s="9" t="s">
        <v>534</v>
      </c>
      <c r="C22" s="9" t="s">
        <v>537</v>
      </c>
      <c r="D22" s="11">
        <v>0</v>
      </c>
      <c r="E22" s="11">
        <f>'Сохр ОКН'!G26</f>
        <v>426189.60000000003</v>
      </c>
      <c r="F22" s="11">
        <f>D22+E22</f>
        <v>426189.60000000003</v>
      </c>
    </row>
    <row r="23" spans="1:254" x14ac:dyDescent="0.25">
      <c r="A23" s="8" t="s">
        <v>455</v>
      </c>
      <c r="B23" s="9" t="s">
        <v>457</v>
      </c>
      <c r="C23" s="12" t="s">
        <v>18</v>
      </c>
      <c r="D23" s="13">
        <f>SUM(D16:D22)</f>
        <v>483266.187019406</v>
      </c>
      <c r="E23" s="13">
        <f t="shared" ref="E23:F23" si="0">SUM(E16:E22)</f>
        <v>4337062.4442997202</v>
      </c>
      <c r="F23" s="13">
        <f t="shared" si="0"/>
        <v>4820328.6313191261</v>
      </c>
    </row>
    <row r="24" spans="1:254" x14ac:dyDescent="0.25">
      <c r="A24" s="8" t="s">
        <v>535</v>
      </c>
      <c r="B24" s="9" t="s">
        <v>458</v>
      </c>
      <c r="C24" s="14" t="s">
        <v>19</v>
      </c>
      <c r="D24" s="11">
        <f>D23*2%</f>
        <v>9665.3237403881194</v>
      </c>
      <c r="E24" s="11">
        <f t="shared" ref="E24:F24" si="1">E23*2%</f>
        <v>86741.248885994413</v>
      </c>
      <c r="F24" s="11">
        <f t="shared" si="1"/>
        <v>96406.57262638252</v>
      </c>
    </row>
    <row r="25" spans="1:254" ht="15" customHeight="1" x14ac:dyDescent="0.25">
      <c r="A25" s="8" t="s">
        <v>536</v>
      </c>
      <c r="B25" s="12" t="s">
        <v>458</v>
      </c>
      <c r="C25" s="12" t="s">
        <v>20</v>
      </c>
      <c r="D25" s="13">
        <f>D23+D24</f>
        <v>492931.5107597941</v>
      </c>
      <c r="E25" s="13">
        <f t="shared" ref="E25:F25" si="2">E23+E24</f>
        <v>4423803.693185715</v>
      </c>
      <c r="F25" s="13">
        <f t="shared" si="2"/>
        <v>4916735.2039455082</v>
      </c>
    </row>
    <row r="26" spans="1:254" ht="23.25" customHeight="1" x14ac:dyDescent="0.25">
      <c r="A26" s="315"/>
      <c r="B26" s="321"/>
      <c r="C26" s="16"/>
      <c r="D26" s="321"/>
      <c r="F26" s="15"/>
    </row>
    <row r="27" spans="1:254" s="322" customFormat="1" ht="18.75" customHeight="1" x14ac:dyDescent="0.25">
      <c r="A27" s="377" t="s">
        <v>21</v>
      </c>
      <c r="B27" s="375"/>
      <c r="C27" s="378" t="s">
        <v>451</v>
      </c>
      <c r="D27" s="379"/>
      <c r="E27" s="380"/>
      <c r="F27" s="317" t="s">
        <v>456</v>
      </c>
      <c r="G27" s="321"/>
      <c r="H27" s="321"/>
      <c r="I27" s="321"/>
      <c r="J27" s="321"/>
      <c r="K27" s="321"/>
      <c r="L27" s="321"/>
      <c r="M27" s="321"/>
      <c r="N27" s="321"/>
      <c r="O27" s="321"/>
      <c r="P27" s="321"/>
      <c r="Q27" s="321"/>
      <c r="R27" s="321"/>
      <c r="S27" s="321"/>
      <c r="T27" s="321"/>
      <c r="U27" s="321"/>
      <c r="V27" s="321"/>
      <c r="W27" s="321"/>
      <c r="X27" s="321"/>
      <c r="Y27" s="321"/>
      <c r="Z27" s="321"/>
      <c r="AA27" s="321"/>
      <c r="AB27" s="321"/>
      <c r="AC27" s="321"/>
      <c r="AD27" s="321"/>
      <c r="AE27" s="321"/>
      <c r="AF27" s="321"/>
      <c r="AG27" s="321"/>
      <c r="AH27" s="321"/>
      <c r="AI27" s="321"/>
      <c r="AJ27" s="321"/>
      <c r="AK27" s="321"/>
      <c r="AL27" s="321"/>
      <c r="AM27" s="321"/>
      <c r="AN27" s="321"/>
      <c r="AO27" s="321"/>
      <c r="AP27" s="321"/>
      <c r="AQ27" s="321"/>
      <c r="AR27" s="321"/>
      <c r="AS27" s="321"/>
      <c r="AT27" s="321"/>
      <c r="AU27" s="321"/>
      <c r="AV27" s="321"/>
      <c r="AW27" s="321"/>
      <c r="AX27" s="321"/>
      <c r="AY27" s="321"/>
      <c r="AZ27" s="321"/>
      <c r="BA27" s="321"/>
      <c r="BB27" s="321"/>
      <c r="BC27" s="321"/>
      <c r="BD27" s="321"/>
      <c r="BE27" s="321"/>
      <c r="BF27" s="321"/>
      <c r="BG27" s="321"/>
      <c r="BH27" s="321"/>
      <c r="BI27" s="321"/>
      <c r="BJ27" s="321"/>
      <c r="BK27" s="321"/>
      <c r="BL27" s="321"/>
      <c r="BM27" s="321"/>
      <c r="BN27" s="321"/>
      <c r="BO27" s="321"/>
      <c r="BP27" s="321"/>
      <c r="BQ27" s="321"/>
      <c r="BR27" s="321"/>
      <c r="BS27" s="321"/>
      <c r="BT27" s="321"/>
      <c r="BU27" s="321"/>
      <c r="BV27" s="321"/>
      <c r="BW27" s="321"/>
      <c r="BX27" s="321"/>
      <c r="BY27" s="321"/>
      <c r="BZ27" s="321"/>
      <c r="CA27" s="321"/>
      <c r="CB27" s="321"/>
      <c r="CC27" s="321"/>
      <c r="CD27" s="321"/>
      <c r="CE27" s="321"/>
      <c r="CF27" s="321"/>
      <c r="CG27" s="321"/>
      <c r="CH27" s="321"/>
      <c r="CI27" s="321"/>
      <c r="CJ27" s="321"/>
      <c r="CK27" s="321"/>
      <c r="CL27" s="321"/>
      <c r="CM27" s="321"/>
      <c r="CN27" s="321"/>
      <c r="CO27" s="321"/>
      <c r="CP27" s="321"/>
      <c r="CQ27" s="321"/>
      <c r="CR27" s="321"/>
      <c r="CS27" s="321"/>
      <c r="CT27" s="321"/>
      <c r="CU27" s="321"/>
      <c r="CV27" s="321"/>
      <c r="CW27" s="321"/>
      <c r="CX27" s="321"/>
      <c r="CY27" s="321"/>
      <c r="CZ27" s="321"/>
      <c r="DA27" s="321"/>
      <c r="DB27" s="321"/>
      <c r="DC27" s="321"/>
      <c r="DD27" s="321"/>
      <c r="DE27" s="321"/>
      <c r="DF27" s="321"/>
      <c r="DG27" s="321"/>
      <c r="DH27" s="321"/>
      <c r="DI27" s="321"/>
      <c r="DJ27" s="321"/>
      <c r="DK27" s="321"/>
      <c r="DL27" s="321"/>
      <c r="DM27" s="321"/>
      <c r="DN27" s="321"/>
      <c r="DO27" s="321"/>
      <c r="DP27" s="321"/>
      <c r="DQ27" s="321"/>
      <c r="DR27" s="321"/>
      <c r="DS27" s="321"/>
      <c r="DT27" s="321"/>
      <c r="DU27" s="321"/>
      <c r="DV27" s="321"/>
      <c r="DW27" s="321"/>
      <c r="DX27" s="321"/>
      <c r="DY27" s="321"/>
      <c r="DZ27" s="321"/>
      <c r="EA27" s="321"/>
      <c r="EB27" s="321"/>
      <c r="EC27" s="321"/>
      <c r="ED27" s="321"/>
      <c r="EE27" s="321"/>
      <c r="EF27" s="321"/>
      <c r="EG27" s="321"/>
      <c r="EH27" s="321"/>
      <c r="EI27" s="321"/>
      <c r="EJ27" s="321"/>
      <c r="EK27" s="321"/>
      <c r="EL27" s="321"/>
      <c r="EM27" s="321"/>
      <c r="EN27" s="321"/>
      <c r="EO27" s="321"/>
      <c r="EP27" s="321"/>
      <c r="EQ27" s="321"/>
      <c r="ER27" s="321"/>
      <c r="ES27" s="321"/>
      <c r="ET27" s="321"/>
      <c r="EU27" s="321"/>
      <c r="EV27" s="321"/>
      <c r="EW27" s="321"/>
      <c r="EX27" s="321"/>
      <c r="EY27" s="321"/>
      <c r="EZ27" s="321"/>
      <c r="FA27" s="321"/>
      <c r="FB27" s="321"/>
      <c r="FC27" s="321"/>
      <c r="FD27" s="321"/>
      <c r="FE27" s="321"/>
      <c r="FF27" s="321"/>
      <c r="FG27" s="321"/>
      <c r="FH27" s="321"/>
      <c r="FI27" s="321"/>
      <c r="FJ27" s="321"/>
      <c r="FK27" s="321"/>
      <c r="FL27" s="321"/>
      <c r="FM27" s="321"/>
      <c r="FN27" s="321"/>
      <c r="FO27" s="321"/>
      <c r="FP27" s="321"/>
      <c r="FQ27" s="321"/>
      <c r="FR27" s="321"/>
      <c r="FS27" s="321"/>
      <c r="FT27" s="321"/>
      <c r="FU27" s="321"/>
      <c r="FV27" s="321"/>
      <c r="FW27" s="321"/>
      <c r="FX27" s="321"/>
      <c r="FY27" s="321"/>
      <c r="FZ27" s="321"/>
      <c r="GA27" s="321"/>
      <c r="GB27" s="321"/>
      <c r="GC27" s="321"/>
      <c r="GD27" s="321"/>
      <c r="GE27" s="321"/>
      <c r="GF27" s="321"/>
      <c r="GG27" s="321"/>
      <c r="GH27" s="321"/>
      <c r="GI27" s="321"/>
      <c r="GJ27" s="321"/>
      <c r="GK27" s="321"/>
      <c r="GL27" s="321"/>
      <c r="GM27" s="321"/>
      <c r="GN27" s="321"/>
      <c r="GO27" s="321"/>
      <c r="GP27" s="321"/>
      <c r="GQ27" s="321"/>
      <c r="GR27" s="321"/>
      <c r="GS27" s="321"/>
      <c r="GT27" s="321"/>
      <c r="GU27" s="321"/>
      <c r="GV27" s="321"/>
      <c r="GW27" s="321"/>
      <c r="GX27" s="321"/>
      <c r="GY27" s="321"/>
      <c r="GZ27" s="321"/>
      <c r="HA27" s="321"/>
      <c r="HB27" s="321"/>
      <c r="HC27" s="321"/>
      <c r="HD27" s="321"/>
      <c r="HE27" s="321"/>
      <c r="HF27" s="321"/>
      <c r="HG27" s="321"/>
      <c r="HH27" s="321"/>
      <c r="HI27" s="321"/>
      <c r="HJ27" s="321"/>
      <c r="HK27" s="321"/>
      <c r="HL27" s="321"/>
      <c r="HM27" s="321"/>
      <c r="HN27" s="321"/>
      <c r="HO27" s="321"/>
      <c r="HP27" s="321"/>
      <c r="HQ27" s="321"/>
      <c r="HR27" s="321"/>
      <c r="HS27" s="321"/>
      <c r="HT27" s="321"/>
      <c r="HU27" s="321"/>
      <c r="HV27" s="321"/>
      <c r="HW27" s="321"/>
      <c r="HX27" s="321"/>
      <c r="HY27" s="321"/>
      <c r="HZ27" s="321"/>
      <c r="IA27" s="321"/>
      <c r="IB27" s="321"/>
      <c r="IC27" s="321"/>
      <c r="ID27" s="321"/>
      <c r="IE27" s="321"/>
      <c r="IF27" s="321"/>
      <c r="IG27" s="321"/>
      <c r="IH27" s="321"/>
      <c r="II27" s="321"/>
      <c r="IJ27" s="321"/>
      <c r="IK27" s="321"/>
      <c r="IL27" s="321"/>
      <c r="IM27" s="321"/>
      <c r="IN27" s="321"/>
      <c r="IO27" s="321"/>
      <c r="IP27" s="321"/>
      <c r="IQ27" s="321"/>
      <c r="IR27" s="321"/>
      <c r="IS27" s="321"/>
      <c r="IT27" s="321"/>
    </row>
    <row r="28" spans="1:254" s="322" customFormat="1" ht="14.25" customHeight="1" x14ac:dyDescent="0.25">
      <c r="A28" s="315"/>
      <c r="B28" s="318"/>
      <c r="C28" s="316"/>
      <c r="D28" s="317"/>
      <c r="E28" s="317"/>
      <c r="F28" s="317"/>
      <c r="G28" s="321"/>
      <c r="H28" s="321"/>
      <c r="I28" s="321"/>
      <c r="J28" s="321"/>
      <c r="K28" s="321"/>
      <c r="L28" s="321"/>
      <c r="M28" s="321"/>
      <c r="N28" s="321"/>
      <c r="O28" s="321"/>
      <c r="P28" s="321"/>
      <c r="Q28" s="321"/>
      <c r="R28" s="321"/>
      <c r="S28" s="321"/>
      <c r="T28" s="321"/>
      <c r="U28" s="321"/>
      <c r="V28" s="321"/>
      <c r="W28" s="321"/>
      <c r="X28" s="321"/>
      <c r="Y28" s="321"/>
      <c r="Z28" s="321"/>
      <c r="AA28" s="321"/>
      <c r="AB28" s="321"/>
      <c r="AC28" s="321"/>
      <c r="AD28" s="321"/>
      <c r="AE28" s="321"/>
      <c r="AF28" s="321"/>
      <c r="AG28" s="321"/>
      <c r="AH28" s="321"/>
      <c r="AI28" s="321"/>
      <c r="AJ28" s="321"/>
      <c r="AK28" s="321"/>
      <c r="AL28" s="321"/>
      <c r="AM28" s="321"/>
      <c r="AN28" s="321"/>
      <c r="AO28" s="321"/>
      <c r="AP28" s="321"/>
      <c r="AQ28" s="321"/>
      <c r="AR28" s="321"/>
      <c r="AS28" s="321"/>
      <c r="AT28" s="321"/>
      <c r="AU28" s="321"/>
      <c r="AV28" s="321"/>
      <c r="AW28" s="321"/>
      <c r="AX28" s="321"/>
      <c r="AY28" s="321"/>
      <c r="AZ28" s="321"/>
      <c r="BA28" s="321"/>
      <c r="BB28" s="321"/>
      <c r="BC28" s="321"/>
      <c r="BD28" s="321"/>
      <c r="BE28" s="321"/>
      <c r="BF28" s="321"/>
      <c r="BG28" s="321"/>
      <c r="BH28" s="321"/>
      <c r="BI28" s="321"/>
      <c r="BJ28" s="321"/>
      <c r="BK28" s="321"/>
      <c r="BL28" s="321"/>
      <c r="BM28" s="321"/>
      <c r="BN28" s="321"/>
      <c r="BO28" s="321"/>
      <c r="BP28" s="321"/>
      <c r="BQ28" s="321"/>
      <c r="BR28" s="321"/>
      <c r="BS28" s="321"/>
      <c r="BT28" s="321"/>
      <c r="BU28" s="321"/>
      <c r="BV28" s="321"/>
      <c r="BW28" s="321"/>
      <c r="BX28" s="321"/>
      <c r="BY28" s="321"/>
      <c r="BZ28" s="321"/>
      <c r="CA28" s="321"/>
      <c r="CB28" s="321"/>
      <c r="CC28" s="321"/>
      <c r="CD28" s="321"/>
      <c r="CE28" s="321"/>
      <c r="CF28" s="321"/>
      <c r="CG28" s="321"/>
      <c r="CH28" s="321"/>
      <c r="CI28" s="321"/>
      <c r="CJ28" s="321"/>
      <c r="CK28" s="321"/>
      <c r="CL28" s="321"/>
      <c r="CM28" s="321"/>
      <c r="CN28" s="321"/>
      <c r="CO28" s="321"/>
      <c r="CP28" s="321"/>
      <c r="CQ28" s="321"/>
      <c r="CR28" s="321"/>
      <c r="CS28" s="321"/>
      <c r="CT28" s="321"/>
      <c r="CU28" s="321"/>
      <c r="CV28" s="321"/>
      <c r="CW28" s="321"/>
      <c r="CX28" s="321"/>
      <c r="CY28" s="321"/>
      <c r="CZ28" s="321"/>
      <c r="DA28" s="321"/>
      <c r="DB28" s="321"/>
      <c r="DC28" s="321"/>
      <c r="DD28" s="321"/>
      <c r="DE28" s="321"/>
      <c r="DF28" s="321"/>
      <c r="DG28" s="321"/>
      <c r="DH28" s="321"/>
      <c r="DI28" s="321"/>
      <c r="DJ28" s="321"/>
      <c r="DK28" s="321"/>
      <c r="DL28" s="321"/>
      <c r="DM28" s="321"/>
      <c r="DN28" s="321"/>
      <c r="DO28" s="321"/>
      <c r="DP28" s="321"/>
      <c r="DQ28" s="321"/>
      <c r="DR28" s="321"/>
      <c r="DS28" s="321"/>
      <c r="DT28" s="321"/>
      <c r="DU28" s="321"/>
      <c r="DV28" s="321"/>
      <c r="DW28" s="321"/>
      <c r="DX28" s="321"/>
      <c r="DY28" s="321"/>
      <c r="DZ28" s="321"/>
      <c r="EA28" s="321"/>
      <c r="EB28" s="321"/>
      <c r="EC28" s="321"/>
      <c r="ED28" s="321"/>
      <c r="EE28" s="321"/>
      <c r="EF28" s="321"/>
      <c r="EG28" s="321"/>
      <c r="EH28" s="321"/>
      <c r="EI28" s="321"/>
      <c r="EJ28" s="321"/>
      <c r="EK28" s="321"/>
      <c r="EL28" s="321"/>
      <c r="EM28" s="321"/>
      <c r="EN28" s="321"/>
      <c r="EO28" s="321"/>
      <c r="EP28" s="321"/>
      <c r="EQ28" s="321"/>
      <c r="ER28" s="321"/>
      <c r="ES28" s="321"/>
      <c r="ET28" s="321"/>
      <c r="EU28" s="321"/>
      <c r="EV28" s="321"/>
      <c r="EW28" s="321"/>
      <c r="EX28" s="321"/>
      <c r="EY28" s="321"/>
      <c r="EZ28" s="321"/>
      <c r="FA28" s="321"/>
      <c r="FB28" s="321"/>
      <c r="FC28" s="321"/>
      <c r="FD28" s="321"/>
      <c r="FE28" s="321"/>
      <c r="FF28" s="321"/>
      <c r="FG28" s="321"/>
      <c r="FH28" s="321"/>
      <c r="FI28" s="321"/>
      <c r="FJ28" s="321"/>
      <c r="FK28" s="321"/>
      <c r="FL28" s="321"/>
      <c r="FM28" s="321"/>
      <c r="FN28" s="321"/>
      <c r="FO28" s="321"/>
      <c r="FP28" s="321"/>
      <c r="FQ28" s="321"/>
      <c r="FR28" s="321"/>
      <c r="FS28" s="321"/>
      <c r="FT28" s="321"/>
      <c r="FU28" s="321"/>
      <c r="FV28" s="321"/>
      <c r="FW28" s="321"/>
      <c r="FX28" s="321"/>
      <c r="FY28" s="321"/>
      <c r="FZ28" s="321"/>
      <c r="GA28" s="321"/>
      <c r="GB28" s="321"/>
      <c r="GC28" s="321"/>
      <c r="GD28" s="321"/>
      <c r="GE28" s="321"/>
      <c r="GF28" s="321"/>
      <c r="GG28" s="321"/>
      <c r="GH28" s="321"/>
      <c r="GI28" s="321"/>
      <c r="GJ28" s="321"/>
      <c r="GK28" s="321"/>
      <c r="GL28" s="321"/>
      <c r="GM28" s="321"/>
      <c r="GN28" s="321"/>
      <c r="GO28" s="321"/>
      <c r="GP28" s="321"/>
      <c r="GQ28" s="321"/>
      <c r="GR28" s="321"/>
      <c r="GS28" s="321"/>
      <c r="GT28" s="321"/>
      <c r="GU28" s="321"/>
      <c r="GV28" s="321"/>
      <c r="GW28" s="321"/>
      <c r="GX28" s="321"/>
      <c r="GY28" s="321"/>
      <c r="GZ28" s="321"/>
      <c r="HA28" s="321"/>
      <c r="HB28" s="321"/>
      <c r="HC28" s="321"/>
      <c r="HD28" s="321"/>
      <c r="HE28" s="321"/>
      <c r="HF28" s="321"/>
      <c r="HG28" s="321"/>
      <c r="HH28" s="321"/>
      <c r="HI28" s="321"/>
      <c r="HJ28" s="321"/>
      <c r="HK28" s="321"/>
      <c r="HL28" s="321"/>
      <c r="HM28" s="321"/>
      <c r="HN28" s="321"/>
      <c r="HO28" s="321"/>
      <c r="HP28" s="321"/>
      <c r="HQ28" s="321"/>
      <c r="HR28" s="321"/>
      <c r="HS28" s="321"/>
      <c r="HT28" s="321"/>
      <c r="HU28" s="321"/>
      <c r="HV28" s="321"/>
      <c r="HW28" s="321"/>
      <c r="HX28" s="321"/>
      <c r="HY28" s="321"/>
      <c r="HZ28" s="321"/>
      <c r="IA28" s="321"/>
      <c r="IB28" s="321"/>
      <c r="IC28" s="321"/>
      <c r="ID28" s="321"/>
      <c r="IE28" s="321"/>
      <c r="IF28" s="321"/>
      <c r="IG28" s="321"/>
      <c r="IH28" s="321"/>
      <c r="II28" s="321"/>
      <c r="IJ28" s="321"/>
      <c r="IK28" s="321"/>
      <c r="IL28" s="321"/>
      <c r="IM28" s="321"/>
      <c r="IN28" s="321"/>
      <c r="IO28" s="321"/>
      <c r="IP28" s="321"/>
      <c r="IQ28" s="321"/>
      <c r="IR28" s="321"/>
      <c r="IS28" s="321"/>
      <c r="IT28" s="321"/>
    </row>
    <row r="29" spans="1:254" s="322" customFormat="1" ht="16.5" customHeight="1" x14ac:dyDescent="0.25">
      <c r="A29" s="377" t="s">
        <v>22</v>
      </c>
      <c r="B29" s="375"/>
      <c r="C29" s="381" t="s">
        <v>23</v>
      </c>
      <c r="D29" s="374"/>
      <c r="E29" s="16"/>
      <c r="F29" s="16" t="s">
        <v>452</v>
      </c>
      <c r="IP29" s="321"/>
      <c r="IQ29" s="321"/>
      <c r="IR29" s="321"/>
      <c r="IS29" s="321"/>
      <c r="IT29" s="321"/>
    </row>
    <row r="30" spans="1:254" s="322" customFormat="1" ht="12.75" customHeight="1" x14ac:dyDescent="0.25">
      <c r="A30" s="315"/>
      <c r="B30" s="318"/>
      <c r="C30" s="318"/>
      <c r="D30" s="314"/>
      <c r="E30" s="16"/>
      <c r="F30" s="16"/>
      <c r="IP30" s="321"/>
      <c r="IQ30" s="321"/>
      <c r="IR30" s="321"/>
      <c r="IS30" s="321"/>
      <c r="IT30" s="321"/>
    </row>
    <row r="31" spans="1:254" s="322" customFormat="1" x14ac:dyDescent="0.25">
      <c r="A31" s="315"/>
      <c r="B31" s="318"/>
      <c r="C31" s="378"/>
      <c r="D31" s="379"/>
      <c r="E31" s="15"/>
      <c r="F31" s="317"/>
      <c r="G31" s="321"/>
      <c r="H31" s="323"/>
      <c r="I31" s="323"/>
      <c r="IT31" s="321"/>
    </row>
    <row r="32" spans="1:254" s="322" customFormat="1" x14ac:dyDescent="0.25">
      <c r="A32" s="324"/>
      <c r="B32" s="314"/>
      <c r="C32" s="314"/>
      <c r="D32" s="314"/>
      <c r="E32" s="317"/>
      <c r="F32" s="317"/>
      <c r="G32" s="321"/>
      <c r="H32" s="323"/>
      <c r="I32" s="323"/>
      <c r="IT32" s="321"/>
    </row>
    <row r="33" spans="1:254" s="322" customFormat="1" x14ac:dyDescent="0.25">
      <c r="A33" s="324"/>
      <c r="B33" s="314"/>
      <c r="C33" s="374"/>
      <c r="D33" s="375"/>
      <c r="E33" s="317"/>
      <c r="F33" s="317"/>
      <c r="G33" s="317"/>
      <c r="H33" s="317"/>
      <c r="I33" s="323"/>
      <c r="J33" s="323"/>
    </row>
    <row r="34" spans="1:254" s="322" customFormat="1" x14ac:dyDescent="0.25">
      <c r="A34" s="324"/>
      <c r="B34" s="324"/>
      <c r="C34" s="325"/>
      <c r="D34" s="326"/>
      <c r="E34" s="321"/>
      <c r="F34" s="327"/>
      <c r="G34" s="317"/>
      <c r="H34" s="317"/>
      <c r="I34" s="323"/>
      <c r="J34" s="323"/>
    </row>
    <row r="35" spans="1:254" s="322" customFormat="1" x14ac:dyDescent="0.25">
      <c r="A35" s="324"/>
      <c r="B35" s="324"/>
      <c r="C35" s="328"/>
      <c r="D35" s="328"/>
      <c r="E35" s="317"/>
      <c r="F35" s="323"/>
      <c r="G35" s="317"/>
      <c r="H35" s="317"/>
      <c r="I35" s="323"/>
      <c r="J35" s="323"/>
    </row>
    <row r="36" spans="1:254" s="322" customFormat="1" x14ac:dyDescent="0.25">
      <c r="A36" s="324"/>
      <c r="B36" s="324"/>
      <c r="C36" s="328"/>
      <c r="D36" s="328"/>
      <c r="E36" s="321"/>
      <c r="F36" s="327"/>
      <c r="G36" s="317"/>
      <c r="H36" s="317"/>
      <c r="I36" s="323"/>
      <c r="J36" s="323"/>
    </row>
    <row r="37" spans="1:254" s="322" customFormat="1" x14ac:dyDescent="0.25">
      <c r="A37" s="376"/>
      <c r="B37" s="376"/>
      <c r="C37" s="376"/>
      <c r="D37" s="320"/>
      <c r="E37" s="321"/>
      <c r="F37" s="327"/>
      <c r="G37" s="317"/>
      <c r="H37" s="317"/>
      <c r="I37" s="323"/>
      <c r="J37" s="323"/>
    </row>
    <row r="38" spans="1:254" s="322" customFormat="1" x14ac:dyDescent="0.25">
      <c r="A38" s="324"/>
      <c r="B38" s="324"/>
      <c r="C38" s="328"/>
      <c r="D38" s="320"/>
      <c r="E38" s="317"/>
      <c r="F38" s="323"/>
      <c r="G38" s="323"/>
      <c r="IR38" s="321"/>
      <c r="IS38" s="321"/>
      <c r="IT38" s="321"/>
    </row>
    <row r="39" spans="1:254" s="322" customFormat="1" x14ac:dyDescent="0.25">
      <c r="A39" s="324"/>
      <c r="B39" s="324"/>
      <c r="C39" s="328"/>
      <c r="D39" s="320"/>
      <c r="E39" s="321"/>
      <c r="F39" s="321"/>
      <c r="G39" s="317"/>
      <c r="H39" s="317"/>
      <c r="I39" s="323"/>
      <c r="J39" s="323"/>
    </row>
    <row r="40" spans="1:254" x14ac:dyDescent="0.25">
      <c r="A40" s="324"/>
      <c r="B40" s="324"/>
      <c r="G40" s="317"/>
      <c r="H40" s="317"/>
      <c r="I40" s="323"/>
      <c r="J40" s="323"/>
    </row>
    <row r="41" spans="1:254" x14ac:dyDescent="0.25">
      <c r="A41" s="324"/>
      <c r="B41" s="324"/>
      <c r="G41" s="323"/>
    </row>
  </sheetData>
  <mergeCells count="21">
    <mergeCell ref="D7:F7"/>
    <mergeCell ref="D6:F6"/>
    <mergeCell ref="D1:F1"/>
    <mergeCell ref="D2:F2"/>
    <mergeCell ref="D3:F3"/>
    <mergeCell ref="D4:F4"/>
    <mergeCell ref="D5:F5"/>
    <mergeCell ref="B9:F9"/>
    <mergeCell ref="A10:F10"/>
    <mergeCell ref="A13:A14"/>
    <mergeCell ref="B13:B14"/>
    <mergeCell ref="C13:C14"/>
    <mergeCell ref="D13:F13"/>
    <mergeCell ref="A12:D12"/>
    <mergeCell ref="C33:D33"/>
    <mergeCell ref="A37:C37"/>
    <mergeCell ref="A27:B27"/>
    <mergeCell ref="C27:E27"/>
    <mergeCell ref="A29:B29"/>
    <mergeCell ref="C29:D29"/>
    <mergeCell ref="C31:D31"/>
  </mergeCells>
  <pageMargins left="0.70866141732283472" right="0.70866141732283472" top="0.35433070866141736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4"/>
  <sheetViews>
    <sheetView topLeftCell="A37" zoomScaleNormal="100" workbookViewId="0">
      <selection activeCell="M52" sqref="M52"/>
    </sheetView>
  </sheetViews>
  <sheetFormatPr defaultRowHeight="15" x14ac:dyDescent="0.25"/>
  <cols>
    <col min="1" max="1" width="5.28515625" style="17" customWidth="1"/>
    <col min="2" max="2" width="9.28515625" style="17" customWidth="1"/>
    <col min="3" max="3" width="9.140625" style="17"/>
    <col min="4" max="4" width="5.85546875" style="17" customWidth="1"/>
    <col min="5" max="5" width="2.7109375" style="17" customWidth="1"/>
    <col min="6" max="6" width="6.28515625" style="17" customWidth="1"/>
    <col min="7" max="7" width="13.140625" style="17" customWidth="1"/>
    <col min="8" max="10" width="4.7109375" style="17" customWidth="1"/>
    <col min="11" max="11" width="5.42578125" style="17" customWidth="1"/>
    <col min="12" max="12" width="6.42578125" style="17" customWidth="1"/>
    <col min="13" max="13" width="12.7109375" style="17" customWidth="1"/>
    <col min="14" max="256" width="9.140625" style="17"/>
    <col min="257" max="257" width="5.28515625" style="17" customWidth="1"/>
    <col min="258" max="258" width="9.28515625" style="17" customWidth="1"/>
    <col min="259" max="259" width="9.140625" style="17"/>
    <col min="260" max="260" width="5.85546875" style="17" customWidth="1"/>
    <col min="261" max="261" width="2.7109375" style="17" customWidth="1"/>
    <col min="262" max="262" width="6.28515625" style="17" customWidth="1"/>
    <col min="263" max="263" width="13.140625" style="17" customWidth="1"/>
    <col min="264" max="266" width="4.7109375" style="17" customWidth="1"/>
    <col min="267" max="267" width="5.42578125" style="17" customWidth="1"/>
    <col min="268" max="268" width="6.42578125" style="17" customWidth="1"/>
    <col min="269" max="269" width="12.7109375" style="17" customWidth="1"/>
    <col min="270" max="512" width="9.140625" style="17"/>
    <col min="513" max="513" width="5.28515625" style="17" customWidth="1"/>
    <col min="514" max="514" width="9.28515625" style="17" customWidth="1"/>
    <col min="515" max="515" width="9.140625" style="17"/>
    <col min="516" max="516" width="5.85546875" style="17" customWidth="1"/>
    <col min="517" max="517" width="2.7109375" style="17" customWidth="1"/>
    <col min="518" max="518" width="6.28515625" style="17" customWidth="1"/>
    <col min="519" max="519" width="13.140625" style="17" customWidth="1"/>
    <col min="520" max="522" width="4.7109375" style="17" customWidth="1"/>
    <col min="523" max="523" width="5.42578125" style="17" customWidth="1"/>
    <col min="524" max="524" width="6.42578125" style="17" customWidth="1"/>
    <col min="525" max="525" width="12.7109375" style="17" customWidth="1"/>
    <col min="526" max="768" width="9.140625" style="17"/>
    <col min="769" max="769" width="5.28515625" style="17" customWidth="1"/>
    <col min="770" max="770" width="9.28515625" style="17" customWidth="1"/>
    <col min="771" max="771" width="9.140625" style="17"/>
    <col min="772" max="772" width="5.85546875" style="17" customWidth="1"/>
    <col min="773" max="773" width="2.7109375" style="17" customWidth="1"/>
    <col min="774" max="774" width="6.28515625" style="17" customWidth="1"/>
    <col min="775" max="775" width="13.140625" style="17" customWidth="1"/>
    <col min="776" max="778" width="4.7109375" style="17" customWidth="1"/>
    <col min="779" max="779" width="5.42578125" style="17" customWidth="1"/>
    <col min="780" max="780" width="6.42578125" style="17" customWidth="1"/>
    <col min="781" max="781" width="12.7109375" style="17" customWidth="1"/>
    <col min="782" max="1024" width="9.140625" style="17"/>
    <col min="1025" max="1025" width="5.28515625" style="17" customWidth="1"/>
    <col min="1026" max="1026" width="9.28515625" style="17" customWidth="1"/>
    <col min="1027" max="1027" width="9.140625" style="17"/>
    <col min="1028" max="1028" width="5.85546875" style="17" customWidth="1"/>
    <col min="1029" max="1029" width="2.7109375" style="17" customWidth="1"/>
    <col min="1030" max="1030" width="6.28515625" style="17" customWidth="1"/>
    <col min="1031" max="1031" width="13.140625" style="17" customWidth="1"/>
    <col min="1032" max="1034" width="4.7109375" style="17" customWidth="1"/>
    <col min="1035" max="1035" width="5.42578125" style="17" customWidth="1"/>
    <col min="1036" max="1036" width="6.42578125" style="17" customWidth="1"/>
    <col min="1037" max="1037" width="12.7109375" style="17" customWidth="1"/>
    <col min="1038" max="1280" width="9.140625" style="17"/>
    <col min="1281" max="1281" width="5.28515625" style="17" customWidth="1"/>
    <col min="1282" max="1282" width="9.28515625" style="17" customWidth="1"/>
    <col min="1283" max="1283" width="9.140625" style="17"/>
    <col min="1284" max="1284" width="5.85546875" style="17" customWidth="1"/>
    <col min="1285" max="1285" width="2.7109375" style="17" customWidth="1"/>
    <col min="1286" max="1286" width="6.28515625" style="17" customWidth="1"/>
    <col min="1287" max="1287" width="13.140625" style="17" customWidth="1"/>
    <col min="1288" max="1290" width="4.7109375" style="17" customWidth="1"/>
    <col min="1291" max="1291" width="5.42578125" style="17" customWidth="1"/>
    <col min="1292" max="1292" width="6.42578125" style="17" customWidth="1"/>
    <col min="1293" max="1293" width="12.7109375" style="17" customWidth="1"/>
    <col min="1294" max="1536" width="9.140625" style="17"/>
    <col min="1537" max="1537" width="5.28515625" style="17" customWidth="1"/>
    <col min="1538" max="1538" width="9.28515625" style="17" customWidth="1"/>
    <col min="1539" max="1539" width="9.140625" style="17"/>
    <col min="1540" max="1540" width="5.85546875" style="17" customWidth="1"/>
    <col min="1541" max="1541" width="2.7109375" style="17" customWidth="1"/>
    <col min="1542" max="1542" width="6.28515625" style="17" customWidth="1"/>
    <col min="1543" max="1543" width="13.140625" style="17" customWidth="1"/>
    <col min="1544" max="1546" width="4.7109375" style="17" customWidth="1"/>
    <col min="1547" max="1547" width="5.42578125" style="17" customWidth="1"/>
    <col min="1548" max="1548" width="6.42578125" style="17" customWidth="1"/>
    <col min="1549" max="1549" width="12.7109375" style="17" customWidth="1"/>
    <col min="1550" max="1792" width="9.140625" style="17"/>
    <col min="1793" max="1793" width="5.28515625" style="17" customWidth="1"/>
    <col min="1794" max="1794" width="9.28515625" style="17" customWidth="1"/>
    <col min="1795" max="1795" width="9.140625" style="17"/>
    <col min="1796" max="1796" width="5.85546875" style="17" customWidth="1"/>
    <col min="1797" max="1797" width="2.7109375" style="17" customWidth="1"/>
    <col min="1798" max="1798" width="6.28515625" style="17" customWidth="1"/>
    <col min="1799" max="1799" width="13.140625" style="17" customWidth="1"/>
    <col min="1800" max="1802" width="4.7109375" style="17" customWidth="1"/>
    <col min="1803" max="1803" width="5.42578125" style="17" customWidth="1"/>
    <col min="1804" max="1804" width="6.42578125" style="17" customWidth="1"/>
    <col min="1805" max="1805" width="12.7109375" style="17" customWidth="1"/>
    <col min="1806" max="2048" width="9.140625" style="17"/>
    <col min="2049" max="2049" width="5.28515625" style="17" customWidth="1"/>
    <col min="2050" max="2050" width="9.28515625" style="17" customWidth="1"/>
    <col min="2051" max="2051" width="9.140625" style="17"/>
    <col min="2052" max="2052" width="5.85546875" style="17" customWidth="1"/>
    <col min="2053" max="2053" width="2.7109375" style="17" customWidth="1"/>
    <col min="2054" max="2054" width="6.28515625" style="17" customWidth="1"/>
    <col min="2055" max="2055" width="13.140625" style="17" customWidth="1"/>
    <col min="2056" max="2058" width="4.7109375" style="17" customWidth="1"/>
    <col min="2059" max="2059" width="5.42578125" style="17" customWidth="1"/>
    <col min="2060" max="2060" width="6.42578125" style="17" customWidth="1"/>
    <col min="2061" max="2061" width="12.7109375" style="17" customWidth="1"/>
    <col min="2062" max="2304" width="9.140625" style="17"/>
    <col min="2305" max="2305" width="5.28515625" style="17" customWidth="1"/>
    <col min="2306" max="2306" width="9.28515625" style="17" customWidth="1"/>
    <col min="2307" max="2307" width="9.140625" style="17"/>
    <col min="2308" max="2308" width="5.85546875" style="17" customWidth="1"/>
    <col min="2309" max="2309" width="2.7109375" style="17" customWidth="1"/>
    <col min="2310" max="2310" width="6.28515625" style="17" customWidth="1"/>
    <col min="2311" max="2311" width="13.140625" style="17" customWidth="1"/>
    <col min="2312" max="2314" width="4.7109375" style="17" customWidth="1"/>
    <col min="2315" max="2315" width="5.42578125" style="17" customWidth="1"/>
    <col min="2316" max="2316" width="6.42578125" style="17" customWidth="1"/>
    <col min="2317" max="2317" width="12.7109375" style="17" customWidth="1"/>
    <col min="2318" max="2560" width="9.140625" style="17"/>
    <col min="2561" max="2561" width="5.28515625" style="17" customWidth="1"/>
    <col min="2562" max="2562" width="9.28515625" style="17" customWidth="1"/>
    <col min="2563" max="2563" width="9.140625" style="17"/>
    <col min="2564" max="2564" width="5.85546875" style="17" customWidth="1"/>
    <col min="2565" max="2565" width="2.7109375" style="17" customWidth="1"/>
    <col min="2566" max="2566" width="6.28515625" style="17" customWidth="1"/>
    <col min="2567" max="2567" width="13.140625" style="17" customWidth="1"/>
    <col min="2568" max="2570" width="4.7109375" style="17" customWidth="1"/>
    <col min="2571" max="2571" width="5.42578125" style="17" customWidth="1"/>
    <col min="2572" max="2572" width="6.42578125" style="17" customWidth="1"/>
    <col min="2573" max="2573" width="12.7109375" style="17" customWidth="1"/>
    <col min="2574" max="2816" width="9.140625" style="17"/>
    <col min="2817" max="2817" width="5.28515625" style="17" customWidth="1"/>
    <col min="2818" max="2818" width="9.28515625" style="17" customWidth="1"/>
    <col min="2819" max="2819" width="9.140625" style="17"/>
    <col min="2820" max="2820" width="5.85546875" style="17" customWidth="1"/>
    <col min="2821" max="2821" width="2.7109375" style="17" customWidth="1"/>
    <col min="2822" max="2822" width="6.28515625" style="17" customWidth="1"/>
    <col min="2823" max="2823" width="13.140625" style="17" customWidth="1"/>
    <col min="2824" max="2826" width="4.7109375" style="17" customWidth="1"/>
    <col min="2827" max="2827" width="5.42578125" style="17" customWidth="1"/>
    <col min="2828" max="2828" width="6.42578125" style="17" customWidth="1"/>
    <col min="2829" max="2829" width="12.7109375" style="17" customWidth="1"/>
    <col min="2830" max="3072" width="9.140625" style="17"/>
    <col min="3073" max="3073" width="5.28515625" style="17" customWidth="1"/>
    <col min="3074" max="3074" width="9.28515625" style="17" customWidth="1"/>
    <col min="3075" max="3075" width="9.140625" style="17"/>
    <col min="3076" max="3076" width="5.85546875" style="17" customWidth="1"/>
    <col min="3077" max="3077" width="2.7109375" style="17" customWidth="1"/>
    <col min="3078" max="3078" width="6.28515625" style="17" customWidth="1"/>
    <col min="3079" max="3079" width="13.140625" style="17" customWidth="1"/>
    <col min="3080" max="3082" width="4.7109375" style="17" customWidth="1"/>
    <col min="3083" max="3083" width="5.42578125" style="17" customWidth="1"/>
    <col min="3084" max="3084" width="6.42578125" style="17" customWidth="1"/>
    <col min="3085" max="3085" width="12.7109375" style="17" customWidth="1"/>
    <col min="3086" max="3328" width="9.140625" style="17"/>
    <col min="3329" max="3329" width="5.28515625" style="17" customWidth="1"/>
    <col min="3330" max="3330" width="9.28515625" style="17" customWidth="1"/>
    <col min="3331" max="3331" width="9.140625" style="17"/>
    <col min="3332" max="3332" width="5.85546875" style="17" customWidth="1"/>
    <col min="3333" max="3333" width="2.7109375" style="17" customWidth="1"/>
    <col min="3334" max="3334" width="6.28515625" style="17" customWidth="1"/>
    <col min="3335" max="3335" width="13.140625" style="17" customWidth="1"/>
    <col min="3336" max="3338" width="4.7109375" style="17" customWidth="1"/>
    <col min="3339" max="3339" width="5.42578125" style="17" customWidth="1"/>
    <col min="3340" max="3340" width="6.42578125" style="17" customWidth="1"/>
    <col min="3341" max="3341" width="12.7109375" style="17" customWidth="1"/>
    <col min="3342" max="3584" width="9.140625" style="17"/>
    <col min="3585" max="3585" width="5.28515625" style="17" customWidth="1"/>
    <col min="3586" max="3586" width="9.28515625" style="17" customWidth="1"/>
    <col min="3587" max="3587" width="9.140625" style="17"/>
    <col min="3588" max="3588" width="5.85546875" style="17" customWidth="1"/>
    <col min="3589" max="3589" width="2.7109375" style="17" customWidth="1"/>
    <col min="3590" max="3590" width="6.28515625" style="17" customWidth="1"/>
    <col min="3591" max="3591" width="13.140625" style="17" customWidth="1"/>
    <col min="3592" max="3594" width="4.7109375" style="17" customWidth="1"/>
    <col min="3595" max="3595" width="5.42578125" style="17" customWidth="1"/>
    <col min="3596" max="3596" width="6.42578125" style="17" customWidth="1"/>
    <col min="3597" max="3597" width="12.7109375" style="17" customWidth="1"/>
    <col min="3598" max="3840" width="9.140625" style="17"/>
    <col min="3841" max="3841" width="5.28515625" style="17" customWidth="1"/>
    <col min="3842" max="3842" width="9.28515625" style="17" customWidth="1"/>
    <col min="3843" max="3843" width="9.140625" style="17"/>
    <col min="3844" max="3844" width="5.85546875" style="17" customWidth="1"/>
    <col min="3845" max="3845" width="2.7109375" style="17" customWidth="1"/>
    <col min="3846" max="3846" width="6.28515625" style="17" customWidth="1"/>
    <col min="3847" max="3847" width="13.140625" style="17" customWidth="1"/>
    <col min="3848" max="3850" width="4.7109375" style="17" customWidth="1"/>
    <col min="3851" max="3851" width="5.42578125" style="17" customWidth="1"/>
    <col min="3852" max="3852" width="6.42578125" style="17" customWidth="1"/>
    <col min="3853" max="3853" width="12.7109375" style="17" customWidth="1"/>
    <col min="3854" max="4096" width="9.140625" style="17"/>
    <col min="4097" max="4097" width="5.28515625" style="17" customWidth="1"/>
    <col min="4098" max="4098" width="9.28515625" style="17" customWidth="1"/>
    <col min="4099" max="4099" width="9.140625" style="17"/>
    <col min="4100" max="4100" width="5.85546875" style="17" customWidth="1"/>
    <col min="4101" max="4101" width="2.7109375" style="17" customWidth="1"/>
    <col min="4102" max="4102" width="6.28515625" style="17" customWidth="1"/>
    <col min="4103" max="4103" width="13.140625" style="17" customWidth="1"/>
    <col min="4104" max="4106" width="4.7109375" style="17" customWidth="1"/>
    <col min="4107" max="4107" width="5.42578125" style="17" customWidth="1"/>
    <col min="4108" max="4108" width="6.42578125" style="17" customWidth="1"/>
    <col min="4109" max="4109" width="12.7109375" style="17" customWidth="1"/>
    <col min="4110" max="4352" width="9.140625" style="17"/>
    <col min="4353" max="4353" width="5.28515625" style="17" customWidth="1"/>
    <col min="4354" max="4354" width="9.28515625" style="17" customWidth="1"/>
    <col min="4355" max="4355" width="9.140625" style="17"/>
    <col min="4356" max="4356" width="5.85546875" style="17" customWidth="1"/>
    <col min="4357" max="4357" width="2.7109375" style="17" customWidth="1"/>
    <col min="4358" max="4358" width="6.28515625" style="17" customWidth="1"/>
    <col min="4359" max="4359" width="13.140625" style="17" customWidth="1"/>
    <col min="4360" max="4362" width="4.7109375" style="17" customWidth="1"/>
    <col min="4363" max="4363" width="5.42578125" style="17" customWidth="1"/>
    <col min="4364" max="4364" width="6.42578125" style="17" customWidth="1"/>
    <col min="4365" max="4365" width="12.7109375" style="17" customWidth="1"/>
    <col min="4366" max="4608" width="9.140625" style="17"/>
    <col min="4609" max="4609" width="5.28515625" style="17" customWidth="1"/>
    <col min="4610" max="4610" width="9.28515625" style="17" customWidth="1"/>
    <col min="4611" max="4611" width="9.140625" style="17"/>
    <col min="4612" max="4612" width="5.85546875" style="17" customWidth="1"/>
    <col min="4613" max="4613" width="2.7109375" style="17" customWidth="1"/>
    <col min="4614" max="4614" width="6.28515625" style="17" customWidth="1"/>
    <col min="4615" max="4615" width="13.140625" style="17" customWidth="1"/>
    <col min="4616" max="4618" width="4.7109375" style="17" customWidth="1"/>
    <col min="4619" max="4619" width="5.42578125" style="17" customWidth="1"/>
    <col min="4620" max="4620" width="6.42578125" style="17" customWidth="1"/>
    <col min="4621" max="4621" width="12.7109375" style="17" customWidth="1"/>
    <col min="4622" max="4864" width="9.140625" style="17"/>
    <col min="4865" max="4865" width="5.28515625" style="17" customWidth="1"/>
    <col min="4866" max="4866" width="9.28515625" style="17" customWidth="1"/>
    <col min="4867" max="4867" width="9.140625" style="17"/>
    <col min="4868" max="4868" width="5.85546875" style="17" customWidth="1"/>
    <col min="4869" max="4869" width="2.7109375" style="17" customWidth="1"/>
    <col min="4870" max="4870" width="6.28515625" style="17" customWidth="1"/>
    <col min="4871" max="4871" width="13.140625" style="17" customWidth="1"/>
    <col min="4872" max="4874" width="4.7109375" style="17" customWidth="1"/>
    <col min="4875" max="4875" width="5.42578125" style="17" customWidth="1"/>
    <col min="4876" max="4876" width="6.42578125" style="17" customWidth="1"/>
    <col min="4877" max="4877" width="12.7109375" style="17" customWidth="1"/>
    <col min="4878" max="5120" width="9.140625" style="17"/>
    <col min="5121" max="5121" width="5.28515625" style="17" customWidth="1"/>
    <col min="5122" max="5122" width="9.28515625" style="17" customWidth="1"/>
    <col min="5123" max="5123" width="9.140625" style="17"/>
    <col min="5124" max="5124" width="5.85546875" style="17" customWidth="1"/>
    <col min="5125" max="5125" width="2.7109375" style="17" customWidth="1"/>
    <col min="5126" max="5126" width="6.28515625" style="17" customWidth="1"/>
    <col min="5127" max="5127" width="13.140625" style="17" customWidth="1"/>
    <col min="5128" max="5130" width="4.7109375" style="17" customWidth="1"/>
    <col min="5131" max="5131" width="5.42578125" style="17" customWidth="1"/>
    <col min="5132" max="5132" width="6.42578125" style="17" customWidth="1"/>
    <col min="5133" max="5133" width="12.7109375" style="17" customWidth="1"/>
    <col min="5134" max="5376" width="9.140625" style="17"/>
    <col min="5377" max="5377" width="5.28515625" style="17" customWidth="1"/>
    <col min="5378" max="5378" width="9.28515625" style="17" customWidth="1"/>
    <col min="5379" max="5379" width="9.140625" style="17"/>
    <col min="5380" max="5380" width="5.85546875" style="17" customWidth="1"/>
    <col min="5381" max="5381" width="2.7109375" style="17" customWidth="1"/>
    <col min="5382" max="5382" width="6.28515625" style="17" customWidth="1"/>
    <col min="5383" max="5383" width="13.140625" style="17" customWidth="1"/>
    <col min="5384" max="5386" width="4.7109375" style="17" customWidth="1"/>
    <col min="5387" max="5387" width="5.42578125" style="17" customWidth="1"/>
    <col min="5388" max="5388" width="6.42578125" style="17" customWidth="1"/>
    <col min="5389" max="5389" width="12.7109375" style="17" customWidth="1"/>
    <col min="5390" max="5632" width="9.140625" style="17"/>
    <col min="5633" max="5633" width="5.28515625" style="17" customWidth="1"/>
    <col min="5634" max="5634" width="9.28515625" style="17" customWidth="1"/>
    <col min="5635" max="5635" width="9.140625" style="17"/>
    <col min="5636" max="5636" width="5.85546875" style="17" customWidth="1"/>
    <col min="5637" max="5637" width="2.7109375" style="17" customWidth="1"/>
    <col min="5638" max="5638" width="6.28515625" style="17" customWidth="1"/>
    <col min="5639" max="5639" width="13.140625" style="17" customWidth="1"/>
    <col min="5640" max="5642" width="4.7109375" style="17" customWidth="1"/>
    <col min="5643" max="5643" width="5.42578125" style="17" customWidth="1"/>
    <col min="5644" max="5644" width="6.42578125" style="17" customWidth="1"/>
    <col min="5645" max="5645" width="12.7109375" style="17" customWidth="1"/>
    <col min="5646" max="5888" width="9.140625" style="17"/>
    <col min="5889" max="5889" width="5.28515625" style="17" customWidth="1"/>
    <col min="5890" max="5890" width="9.28515625" style="17" customWidth="1"/>
    <col min="5891" max="5891" width="9.140625" style="17"/>
    <col min="5892" max="5892" width="5.85546875" style="17" customWidth="1"/>
    <col min="5893" max="5893" width="2.7109375" style="17" customWidth="1"/>
    <col min="5894" max="5894" width="6.28515625" style="17" customWidth="1"/>
    <col min="5895" max="5895" width="13.140625" style="17" customWidth="1"/>
    <col min="5896" max="5898" width="4.7109375" style="17" customWidth="1"/>
    <col min="5899" max="5899" width="5.42578125" style="17" customWidth="1"/>
    <col min="5900" max="5900" width="6.42578125" style="17" customWidth="1"/>
    <col min="5901" max="5901" width="12.7109375" style="17" customWidth="1"/>
    <col min="5902" max="6144" width="9.140625" style="17"/>
    <col min="6145" max="6145" width="5.28515625" style="17" customWidth="1"/>
    <col min="6146" max="6146" width="9.28515625" style="17" customWidth="1"/>
    <col min="6147" max="6147" width="9.140625" style="17"/>
    <col min="6148" max="6148" width="5.85546875" style="17" customWidth="1"/>
    <col min="6149" max="6149" width="2.7109375" style="17" customWidth="1"/>
    <col min="6150" max="6150" width="6.28515625" style="17" customWidth="1"/>
    <col min="6151" max="6151" width="13.140625" style="17" customWidth="1"/>
    <col min="6152" max="6154" width="4.7109375" style="17" customWidth="1"/>
    <col min="6155" max="6155" width="5.42578125" style="17" customWidth="1"/>
    <col min="6156" max="6156" width="6.42578125" style="17" customWidth="1"/>
    <col min="6157" max="6157" width="12.7109375" style="17" customWidth="1"/>
    <col min="6158" max="6400" width="9.140625" style="17"/>
    <col min="6401" max="6401" width="5.28515625" style="17" customWidth="1"/>
    <col min="6402" max="6402" width="9.28515625" style="17" customWidth="1"/>
    <col min="6403" max="6403" width="9.140625" style="17"/>
    <col min="6404" max="6404" width="5.85546875" style="17" customWidth="1"/>
    <col min="6405" max="6405" width="2.7109375" style="17" customWidth="1"/>
    <col min="6406" max="6406" width="6.28515625" style="17" customWidth="1"/>
    <col min="6407" max="6407" width="13.140625" style="17" customWidth="1"/>
    <col min="6408" max="6410" width="4.7109375" style="17" customWidth="1"/>
    <col min="6411" max="6411" width="5.42578125" style="17" customWidth="1"/>
    <col min="6412" max="6412" width="6.42578125" style="17" customWidth="1"/>
    <col min="6413" max="6413" width="12.7109375" style="17" customWidth="1"/>
    <col min="6414" max="6656" width="9.140625" style="17"/>
    <col min="6657" max="6657" width="5.28515625" style="17" customWidth="1"/>
    <col min="6658" max="6658" width="9.28515625" style="17" customWidth="1"/>
    <col min="6659" max="6659" width="9.140625" style="17"/>
    <col min="6660" max="6660" width="5.85546875" style="17" customWidth="1"/>
    <col min="6661" max="6661" width="2.7109375" style="17" customWidth="1"/>
    <col min="6662" max="6662" width="6.28515625" style="17" customWidth="1"/>
    <col min="6663" max="6663" width="13.140625" style="17" customWidth="1"/>
    <col min="6664" max="6666" width="4.7109375" style="17" customWidth="1"/>
    <col min="6667" max="6667" width="5.42578125" style="17" customWidth="1"/>
    <col min="6668" max="6668" width="6.42578125" style="17" customWidth="1"/>
    <col min="6669" max="6669" width="12.7109375" style="17" customWidth="1"/>
    <col min="6670" max="6912" width="9.140625" style="17"/>
    <col min="6913" max="6913" width="5.28515625" style="17" customWidth="1"/>
    <col min="6914" max="6914" width="9.28515625" style="17" customWidth="1"/>
    <col min="6915" max="6915" width="9.140625" style="17"/>
    <col min="6916" max="6916" width="5.85546875" style="17" customWidth="1"/>
    <col min="6917" max="6917" width="2.7109375" style="17" customWidth="1"/>
    <col min="6918" max="6918" width="6.28515625" style="17" customWidth="1"/>
    <col min="6919" max="6919" width="13.140625" style="17" customWidth="1"/>
    <col min="6920" max="6922" width="4.7109375" style="17" customWidth="1"/>
    <col min="6923" max="6923" width="5.42578125" style="17" customWidth="1"/>
    <col min="6924" max="6924" width="6.42578125" style="17" customWidth="1"/>
    <col min="6925" max="6925" width="12.7109375" style="17" customWidth="1"/>
    <col min="6926" max="7168" width="9.140625" style="17"/>
    <col min="7169" max="7169" width="5.28515625" style="17" customWidth="1"/>
    <col min="7170" max="7170" width="9.28515625" style="17" customWidth="1"/>
    <col min="7171" max="7171" width="9.140625" style="17"/>
    <col min="7172" max="7172" width="5.85546875" style="17" customWidth="1"/>
    <col min="7173" max="7173" width="2.7109375" style="17" customWidth="1"/>
    <col min="7174" max="7174" width="6.28515625" style="17" customWidth="1"/>
    <col min="7175" max="7175" width="13.140625" style="17" customWidth="1"/>
    <col min="7176" max="7178" width="4.7109375" style="17" customWidth="1"/>
    <col min="7179" max="7179" width="5.42578125" style="17" customWidth="1"/>
    <col min="7180" max="7180" width="6.42578125" style="17" customWidth="1"/>
    <col min="7181" max="7181" width="12.7109375" style="17" customWidth="1"/>
    <col min="7182" max="7424" width="9.140625" style="17"/>
    <col min="7425" max="7425" width="5.28515625" style="17" customWidth="1"/>
    <col min="7426" max="7426" width="9.28515625" style="17" customWidth="1"/>
    <col min="7427" max="7427" width="9.140625" style="17"/>
    <col min="7428" max="7428" width="5.85546875" style="17" customWidth="1"/>
    <col min="7429" max="7429" width="2.7109375" style="17" customWidth="1"/>
    <col min="7430" max="7430" width="6.28515625" style="17" customWidth="1"/>
    <col min="7431" max="7431" width="13.140625" style="17" customWidth="1"/>
    <col min="7432" max="7434" width="4.7109375" style="17" customWidth="1"/>
    <col min="7435" max="7435" width="5.42578125" style="17" customWidth="1"/>
    <col min="7436" max="7436" width="6.42578125" style="17" customWidth="1"/>
    <col min="7437" max="7437" width="12.7109375" style="17" customWidth="1"/>
    <col min="7438" max="7680" width="9.140625" style="17"/>
    <col min="7681" max="7681" width="5.28515625" style="17" customWidth="1"/>
    <col min="7682" max="7682" width="9.28515625" style="17" customWidth="1"/>
    <col min="7683" max="7683" width="9.140625" style="17"/>
    <col min="7684" max="7684" width="5.85546875" style="17" customWidth="1"/>
    <col min="7685" max="7685" width="2.7109375" style="17" customWidth="1"/>
    <col min="7686" max="7686" width="6.28515625" style="17" customWidth="1"/>
    <col min="7687" max="7687" width="13.140625" style="17" customWidth="1"/>
    <col min="7688" max="7690" width="4.7109375" style="17" customWidth="1"/>
    <col min="7691" max="7691" width="5.42578125" style="17" customWidth="1"/>
    <col min="7692" max="7692" width="6.42578125" style="17" customWidth="1"/>
    <col min="7693" max="7693" width="12.7109375" style="17" customWidth="1"/>
    <col min="7694" max="7936" width="9.140625" style="17"/>
    <col min="7937" max="7937" width="5.28515625" style="17" customWidth="1"/>
    <col min="7938" max="7938" width="9.28515625" style="17" customWidth="1"/>
    <col min="7939" max="7939" width="9.140625" style="17"/>
    <col min="7940" max="7940" width="5.85546875" style="17" customWidth="1"/>
    <col min="7941" max="7941" width="2.7109375" style="17" customWidth="1"/>
    <col min="7942" max="7942" width="6.28515625" style="17" customWidth="1"/>
    <col min="7943" max="7943" width="13.140625" style="17" customWidth="1"/>
    <col min="7944" max="7946" width="4.7109375" style="17" customWidth="1"/>
    <col min="7947" max="7947" width="5.42578125" style="17" customWidth="1"/>
    <col min="7948" max="7948" width="6.42578125" style="17" customWidth="1"/>
    <col min="7949" max="7949" width="12.7109375" style="17" customWidth="1"/>
    <col min="7950" max="8192" width="9.140625" style="17"/>
    <col min="8193" max="8193" width="5.28515625" style="17" customWidth="1"/>
    <col min="8194" max="8194" width="9.28515625" style="17" customWidth="1"/>
    <col min="8195" max="8195" width="9.140625" style="17"/>
    <col min="8196" max="8196" width="5.85546875" style="17" customWidth="1"/>
    <col min="8197" max="8197" width="2.7109375" style="17" customWidth="1"/>
    <col min="8198" max="8198" width="6.28515625" style="17" customWidth="1"/>
    <col min="8199" max="8199" width="13.140625" style="17" customWidth="1"/>
    <col min="8200" max="8202" width="4.7109375" style="17" customWidth="1"/>
    <col min="8203" max="8203" width="5.42578125" style="17" customWidth="1"/>
    <col min="8204" max="8204" width="6.42578125" style="17" customWidth="1"/>
    <col min="8205" max="8205" width="12.7109375" style="17" customWidth="1"/>
    <col min="8206" max="8448" width="9.140625" style="17"/>
    <col min="8449" max="8449" width="5.28515625" style="17" customWidth="1"/>
    <col min="8450" max="8450" width="9.28515625" style="17" customWidth="1"/>
    <col min="8451" max="8451" width="9.140625" style="17"/>
    <col min="8452" max="8452" width="5.85546875" style="17" customWidth="1"/>
    <col min="8453" max="8453" width="2.7109375" style="17" customWidth="1"/>
    <col min="8454" max="8454" width="6.28515625" style="17" customWidth="1"/>
    <col min="8455" max="8455" width="13.140625" style="17" customWidth="1"/>
    <col min="8456" max="8458" width="4.7109375" style="17" customWidth="1"/>
    <col min="8459" max="8459" width="5.42578125" style="17" customWidth="1"/>
    <col min="8460" max="8460" width="6.42578125" style="17" customWidth="1"/>
    <col min="8461" max="8461" width="12.7109375" style="17" customWidth="1"/>
    <col min="8462" max="8704" width="9.140625" style="17"/>
    <col min="8705" max="8705" width="5.28515625" style="17" customWidth="1"/>
    <col min="8706" max="8706" width="9.28515625" style="17" customWidth="1"/>
    <col min="8707" max="8707" width="9.140625" style="17"/>
    <col min="8708" max="8708" width="5.85546875" style="17" customWidth="1"/>
    <col min="8709" max="8709" width="2.7109375" style="17" customWidth="1"/>
    <col min="8710" max="8710" width="6.28515625" style="17" customWidth="1"/>
    <col min="8711" max="8711" width="13.140625" style="17" customWidth="1"/>
    <col min="8712" max="8714" width="4.7109375" style="17" customWidth="1"/>
    <col min="8715" max="8715" width="5.42578125" style="17" customWidth="1"/>
    <col min="8716" max="8716" width="6.42578125" style="17" customWidth="1"/>
    <col min="8717" max="8717" width="12.7109375" style="17" customWidth="1"/>
    <col min="8718" max="8960" width="9.140625" style="17"/>
    <col min="8961" max="8961" width="5.28515625" style="17" customWidth="1"/>
    <col min="8962" max="8962" width="9.28515625" style="17" customWidth="1"/>
    <col min="8963" max="8963" width="9.140625" style="17"/>
    <col min="8964" max="8964" width="5.85546875" style="17" customWidth="1"/>
    <col min="8965" max="8965" width="2.7109375" style="17" customWidth="1"/>
    <col min="8966" max="8966" width="6.28515625" style="17" customWidth="1"/>
    <col min="8967" max="8967" width="13.140625" style="17" customWidth="1"/>
    <col min="8968" max="8970" width="4.7109375" style="17" customWidth="1"/>
    <col min="8971" max="8971" width="5.42578125" style="17" customWidth="1"/>
    <col min="8972" max="8972" width="6.42578125" style="17" customWidth="1"/>
    <col min="8973" max="8973" width="12.7109375" style="17" customWidth="1"/>
    <col min="8974" max="9216" width="9.140625" style="17"/>
    <col min="9217" max="9217" width="5.28515625" style="17" customWidth="1"/>
    <col min="9218" max="9218" width="9.28515625" style="17" customWidth="1"/>
    <col min="9219" max="9219" width="9.140625" style="17"/>
    <col min="9220" max="9220" width="5.85546875" style="17" customWidth="1"/>
    <col min="9221" max="9221" width="2.7109375" style="17" customWidth="1"/>
    <col min="9222" max="9222" width="6.28515625" style="17" customWidth="1"/>
    <col min="9223" max="9223" width="13.140625" style="17" customWidth="1"/>
    <col min="9224" max="9226" width="4.7109375" style="17" customWidth="1"/>
    <col min="9227" max="9227" width="5.42578125" style="17" customWidth="1"/>
    <col min="9228" max="9228" width="6.42578125" style="17" customWidth="1"/>
    <col min="9229" max="9229" width="12.7109375" style="17" customWidth="1"/>
    <col min="9230" max="9472" width="9.140625" style="17"/>
    <col min="9473" max="9473" width="5.28515625" style="17" customWidth="1"/>
    <col min="9474" max="9474" width="9.28515625" style="17" customWidth="1"/>
    <col min="9475" max="9475" width="9.140625" style="17"/>
    <col min="9476" max="9476" width="5.85546875" style="17" customWidth="1"/>
    <col min="9477" max="9477" width="2.7109375" style="17" customWidth="1"/>
    <col min="9478" max="9478" width="6.28515625" style="17" customWidth="1"/>
    <col min="9479" max="9479" width="13.140625" style="17" customWidth="1"/>
    <col min="9480" max="9482" width="4.7109375" style="17" customWidth="1"/>
    <col min="9483" max="9483" width="5.42578125" style="17" customWidth="1"/>
    <col min="9484" max="9484" width="6.42578125" style="17" customWidth="1"/>
    <col min="9485" max="9485" width="12.7109375" style="17" customWidth="1"/>
    <col min="9486" max="9728" width="9.140625" style="17"/>
    <col min="9729" max="9729" width="5.28515625" style="17" customWidth="1"/>
    <col min="9730" max="9730" width="9.28515625" style="17" customWidth="1"/>
    <col min="9731" max="9731" width="9.140625" style="17"/>
    <col min="9732" max="9732" width="5.85546875" style="17" customWidth="1"/>
    <col min="9733" max="9733" width="2.7109375" style="17" customWidth="1"/>
    <col min="9734" max="9734" width="6.28515625" style="17" customWidth="1"/>
    <col min="9735" max="9735" width="13.140625" style="17" customWidth="1"/>
    <col min="9736" max="9738" width="4.7109375" style="17" customWidth="1"/>
    <col min="9739" max="9739" width="5.42578125" style="17" customWidth="1"/>
    <col min="9740" max="9740" width="6.42578125" style="17" customWidth="1"/>
    <col min="9741" max="9741" width="12.7109375" style="17" customWidth="1"/>
    <col min="9742" max="9984" width="9.140625" style="17"/>
    <col min="9985" max="9985" width="5.28515625" style="17" customWidth="1"/>
    <col min="9986" max="9986" width="9.28515625" style="17" customWidth="1"/>
    <col min="9987" max="9987" width="9.140625" style="17"/>
    <col min="9988" max="9988" width="5.85546875" style="17" customWidth="1"/>
    <col min="9989" max="9989" width="2.7109375" style="17" customWidth="1"/>
    <col min="9990" max="9990" width="6.28515625" style="17" customWidth="1"/>
    <col min="9991" max="9991" width="13.140625" style="17" customWidth="1"/>
    <col min="9992" max="9994" width="4.7109375" style="17" customWidth="1"/>
    <col min="9995" max="9995" width="5.42578125" style="17" customWidth="1"/>
    <col min="9996" max="9996" width="6.42578125" style="17" customWidth="1"/>
    <col min="9997" max="9997" width="12.7109375" style="17" customWidth="1"/>
    <col min="9998" max="10240" width="9.140625" style="17"/>
    <col min="10241" max="10241" width="5.28515625" style="17" customWidth="1"/>
    <col min="10242" max="10242" width="9.28515625" style="17" customWidth="1"/>
    <col min="10243" max="10243" width="9.140625" style="17"/>
    <col min="10244" max="10244" width="5.85546875" style="17" customWidth="1"/>
    <col min="10245" max="10245" width="2.7109375" style="17" customWidth="1"/>
    <col min="10246" max="10246" width="6.28515625" style="17" customWidth="1"/>
    <col min="10247" max="10247" width="13.140625" style="17" customWidth="1"/>
    <col min="10248" max="10250" width="4.7109375" style="17" customWidth="1"/>
    <col min="10251" max="10251" width="5.42578125" style="17" customWidth="1"/>
    <col min="10252" max="10252" width="6.42578125" style="17" customWidth="1"/>
    <col min="10253" max="10253" width="12.7109375" style="17" customWidth="1"/>
    <col min="10254" max="10496" width="9.140625" style="17"/>
    <col min="10497" max="10497" width="5.28515625" style="17" customWidth="1"/>
    <col min="10498" max="10498" width="9.28515625" style="17" customWidth="1"/>
    <col min="10499" max="10499" width="9.140625" style="17"/>
    <col min="10500" max="10500" width="5.85546875" style="17" customWidth="1"/>
    <col min="10501" max="10501" width="2.7109375" style="17" customWidth="1"/>
    <col min="10502" max="10502" width="6.28515625" style="17" customWidth="1"/>
    <col min="10503" max="10503" width="13.140625" style="17" customWidth="1"/>
    <col min="10504" max="10506" width="4.7109375" style="17" customWidth="1"/>
    <col min="10507" max="10507" width="5.42578125" style="17" customWidth="1"/>
    <col min="10508" max="10508" width="6.42578125" style="17" customWidth="1"/>
    <col min="10509" max="10509" width="12.7109375" style="17" customWidth="1"/>
    <col min="10510" max="10752" width="9.140625" style="17"/>
    <col min="10753" max="10753" width="5.28515625" style="17" customWidth="1"/>
    <col min="10754" max="10754" width="9.28515625" style="17" customWidth="1"/>
    <col min="10755" max="10755" width="9.140625" style="17"/>
    <col min="10756" max="10756" width="5.85546875" style="17" customWidth="1"/>
    <col min="10757" max="10757" width="2.7109375" style="17" customWidth="1"/>
    <col min="10758" max="10758" width="6.28515625" style="17" customWidth="1"/>
    <col min="10759" max="10759" width="13.140625" style="17" customWidth="1"/>
    <col min="10760" max="10762" width="4.7109375" style="17" customWidth="1"/>
    <col min="10763" max="10763" width="5.42578125" style="17" customWidth="1"/>
    <col min="10764" max="10764" width="6.42578125" style="17" customWidth="1"/>
    <col min="10765" max="10765" width="12.7109375" style="17" customWidth="1"/>
    <col min="10766" max="11008" width="9.140625" style="17"/>
    <col min="11009" max="11009" width="5.28515625" style="17" customWidth="1"/>
    <col min="11010" max="11010" width="9.28515625" style="17" customWidth="1"/>
    <col min="11011" max="11011" width="9.140625" style="17"/>
    <col min="11012" max="11012" width="5.85546875" style="17" customWidth="1"/>
    <col min="11013" max="11013" width="2.7109375" style="17" customWidth="1"/>
    <col min="11014" max="11014" width="6.28515625" style="17" customWidth="1"/>
    <col min="11015" max="11015" width="13.140625" style="17" customWidth="1"/>
    <col min="11016" max="11018" width="4.7109375" style="17" customWidth="1"/>
    <col min="11019" max="11019" width="5.42578125" style="17" customWidth="1"/>
    <col min="11020" max="11020" width="6.42578125" style="17" customWidth="1"/>
    <col min="11021" max="11021" width="12.7109375" style="17" customWidth="1"/>
    <col min="11022" max="11264" width="9.140625" style="17"/>
    <col min="11265" max="11265" width="5.28515625" style="17" customWidth="1"/>
    <col min="11266" max="11266" width="9.28515625" style="17" customWidth="1"/>
    <col min="11267" max="11267" width="9.140625" style="17"/>
    <col min="11268" max="11268" width="5.85546875" style="17" customWidth="1"/>
    <col min="11269" max="11269" width="2.7109375" style="17" customWidth="1"/>
    <col min="11270" max="11270" width="6.28515625" style="17" customWidth="1"/>
    <col min="11271" max="11271" width="13.140625" style="17" customWidth="1"/>
    <col min="11272" max="11274" width="4.7109375" style="17" customWidth="1"/>
    <col min="11275" max="11275" width="5.42578125" style="17" customWidth="1"/>
    <col min="11276" max="11276" width="6.42578125" style="17" customWidth="1"/>
    <col min="11277" max="11277" width="12.7109375" style="17" customWidth="1"/>
    <col min="11278" max="11520" width="9.140625" style="17"/>
    <col min="11521" max="11521" width="5.28515625" style="17" customWidth="1"/>
    <col min="11522" max="11522" width="9.28515625" style="17" customWidth="1"/>
    <col min="11523" max="11523" width="9.140625" style="17"/>
    <col min="11524" max="11524" width="5.85546875" style="17" customWidth="1"/>
    <col min="11525" max="11525" width="2.7109375" style="17" customWidth="1"/>
    <col min="11526" max="11526" width="6.28515625" style="17" customWidth="1"/>
    <col min="11527" max="11527" width="13.140625" style="17" customWidth="1"/>
    <col min="11528" max="11530" width="4.7109375" style="17" customWidth="1"/>
    <col min="11531" max="11531" width="5.42578125" style="17" customWidth="1"/>
    <col min="11532" max="11532" width="6.42578125" style="17" customWidth="1"/>
    <col min="11533" max="11533" width="12.7109375" style="17" customWidth="1"/>
    <col min="11534" max="11776" width="9.140625" style="17"/>
    <col min="11777" max="11777" width="5.28515625" style="17" customWidth="1"/>
    <col min="11778" max="11778" width="9.28515625" style="17" customWidth="1"/>
    <col min="11779" max="11779" width="9.140625" style="17"/>
    <col min="11780" max="11780" width="5.85546875" style="17" customWidth="1"/>
    <col min="11781" max="11781" width="2.7109375" style="17" customWidth="1"/>
    <col min="11782" max="11782" width="6.28515625" style="17" customWidth="1"/>
    <col min="11783" max="11783" width="13.140625" style="17" customWidth="1"/>
    <col min="11784" max="11786" width="4.7109375" style="17" customWidth="1"/>
    <col min="11787" max="11787" width="5.42578125" style="17" customWidth="1"/>
    <col min="11788" max="11788" width="6.42578125" style="17" customWidth="1"/>
    <col min="11789" max="11789" width="12.7109375" style="17" customWidth="1"/>
    <col min="11790" max="12032" width="9.140625" style="17"/>
    <col min="12033" max="12033" width="5.28515625" style="17" customWidth="1"/>
    <col min="12034" max="12034" width="9.28515625" style="17" customWidth="1"/>
    <col min="12035" max="12035" width="9.140625" style="17"/>
    <col min="12036" max="12036" width="5.85546875" style="17" customWidth="1"/>
    <col min="12037" max="12037" width="2.7109375" style="17" customWidth="1"/>
    <col min="12038" max="12038" width="6.28515625" style="17" customWidth="1"/>
    <col min="12039" max="12039" width="13.140625" style="17" customWidth="1"/>
    <col min="12040" max="12042" width="4.7109375" style="17" customWidth="1"/>
    <col min="12043" max="12043" width="5.42578125" style="17" customWidth="1"/>
    <col min="12044" max="12044" width="6.42578125" style="17" customWidth="1"/>
    <col min="12045" max="12045" width="12.7109375" style="17" customWidth="1"/>
    <col min="12046" max="12288" width="9.140625" style="17"/>
    <col min="12289" max="12289" width="5.28515625" style="17" customWidth="1"/>
    <col min="12290" max="12290" width="9.28515625" style="17" customWidth="1"/>
    <col min="12291" max="12291" width="9.140625" style="17"/>
    <col min="12292" max="12292" width="5.85546875" style="17" customWidth="1"/>
    <col min="12293" max="12293" width="2.7109375" style="17" customWidth="1"/>
    <col min="12294" max="12294" width="6.28515625" style="17" customWidth="1"/>
    <col min="12295" max="12295" width="13.140625" style="17" customWidth="1"/>
    <col min="12296" max="12298" width="4.7109375" style="17" customWidth="1"/>
    <col min="12299" max="12299" width="5.42578125" style="17" customWidth="1"/>
    <col min="12300" max="12300" width="6.42578125" style="17" customWidth="1"/>
    <col min="12301" max="12301" width="12.7109375" style="17" customWidth="1"/>
    <col min="12302" max="12544" width="9.140625" style="17"/>
    <col min="12545" max="12545" width="5.28515625" style="17" customWidth="1"/>
    <col min="12546" max="12546" width="9.28515625" style="17" customWidth="1"/>
    <col min="12547" max="12547" width="9.140625" style="17"/>
    <col min="12548" max="12548" width="5.85546875" style="17" customWidth="1"/>
    <col min="12549" max="12549" width="2.7109375" style="17" customWidth="1"/>
    <col min="12550" max="12550" width="6.28515625" style="17" customWidth="1"/>
    <col min="12551" max="12551" width="13.140625" style="17" customWidth="1"/>
    <col min="12552" max="12554" width="4.7109375" style="17" customWidth="1"/>
    <col min="12555" max="12555" width="5.42578125" style="17" customWidth="1"/>
    <col min="12556" max="12556" width="6.42578125" style="17" customWidth="1"/>
    <col min="12557" max="12557" width="12.7109375" style="17" customWidth="1"/>
    <col min="12558" max="12800" width="9.140625" style="17"/>
    <col min="12801" max="12801" width="5.28515625" style="17" customWidth="1"/>
    <col min="12802" max="12802" width="9.28515625" style="17" customWidth="1"/>
    <col min="12803" max="12803" width="9.140625" style="17"/>
    <col min="12804" max="12804" width="5.85546875" style="17" customWidth="1"/>
    <col min="12805" max="12805" width="2.7109375" style="17" customWidth="1"/>
    <col min="12806" max="12806" width="6.28515625" style="17" customWidth="1"/>
    <col min="12807" max="12807" width="13.140625" style="17" customWidth="1"/>
    <col min="12808" max="12810" width="4.7109375" style="17" customWidth="1"/>
    <col min="12811" max="12811" width="5.42578125" style="17" customWidth="1"/>
    <col min="12812" max="12812" width="6.42578125" style="17" customWidth="1"/>
    <col min="12813" max="12813" width="12.7109375" style="17" customWidth="1"/>
    <col min="12814" max="13056" width="9.140625" style="17"/>
    <col min="13057" max="13057" width="5.28515625" style="17" customWidth="1"/>
    <col min="13058" max="13058" width="9.28515625" style="17" customWidth="1"/>
    <col min="13059" max="13059" width="9.140625" style="17"/>
    <col min="13060" max="13060" width="5.85546875" style="17" customWidth="1"/>
    <col min="13061" max="13061" width="2.7109375" style="17" customWidth="1"/>
    <col min="13062" max="13062" width="6.28515625" style="17" customWidth="1"/>
    <col min="13063" max="13063" width="13.140625" style="17" customWidth="1"/>
    <col min="13064" max="13066" width="4.7109375" style="17" customWidth="1"/>
    <col min="13067" max="13067" width="5.42578125" style="17" customWidth="1"/>
    <col min="13068" max="13068" width="6.42578125" style="17" customWidth="1"/>
    <col min="13069" max="13069" width="12.7109375" style="17" customWidth="1"/>
    <col min="13070" max="13312" width="9.140625" style="17"/>
    <col min="13313" max="13313" width="5.28515625" style="17" customWidth="1"/>
    <col min="13314" max="13314" width="9.28515625" style="17" customWidth="1"/>
    <col min="13315" max="13315" width="9.140625" style="17"/>
    <col min="13316" max="13316" width="5.85546875" style="17" customWidth="1"/>
    <col min="13317" max="13317" width="2.7109375" style="17" customWidth="1"/>
    <col min="13318" max="13318" width="6.28515625" style="17" customWidth="1"/>
    <col min="13319" max="13319" width="13.140625" style="17" customWidth="1"/>
    <col min="13320" max="13322" width="4.7109375" style="17" customWidth="1"/>
    <col min="13323" max="13323" width="5.42578125" style="17" customWidth="1"/>
    <col min="13324" max="13324" width="6.42578125" style="17" customWidth="1"/>
    <col min="13325" max="13325" width="12.7109375" style="17" customWidth="1"/>
    <col min="13326" max="13568" width="9.140625" style="17"/>
    <col min="13569" max="13569" width="5.28515625" style="17" customWidth="1"/>
    <col min="13570" max="13570" width="9.28515625" style="17" customWidth="1"/>
    <col min="13571" max="13571" width="9.140625" style="17"/>
    <col min="13572" max="13572" width="5.85546875" style="17" customWidth="1"/>
    <col min="13573" max="13573" width="2.7109375" style="17" customWidth="1"/>
    <col min="13574" max="13574" width="6.28515625" style="17" customWidth="1"/>
    <col min="13575" max="13575" width="13.140625" style="17" customWidth="1"/>
    <col min="13576" max="13578" width="4.7109375" style="17" customWidth="1"/>
    <col min="13579" max="13579" width="5.42578125" style="17" customWidth="1"/>
    <col min="13580" max="13580" width="6.42578125" style="17" customWidth="1"/>
    <col min="13581" max="13581" width="12.7109375" style="17" customWidth="1"/>
    <col min="13582" max="13824" width="9.140625" style="17"/>
    <col min="13825" max="13825" width="5.28515625" style="17" customWidth="1"/>
    <col min="13826" max="13826" width="9.28515625" style="17" customWidth="1"/>
    <col min="13827" max="13827" width="9.140625" style="17"/>
    <col min="13828" max="13828" width="5.85546875" style="17" customWidth="1"/>
    <col min="13829" max="13829" width="2.7109375" style="17" customWidth="1"/>
    <col min="13830" max="13830" width="6.28515625" style="17" customWidth="1"/>
    <col min="13831" max="13831" width="13.140625" style="17" customWidth="1"/>
    <col min="13832" max="13834" width="4.7109375" style="17" customWidth="1"/>
    <col min="13835" max="13835" width="5.42578125" style="17" customWidth="1"/>
    <col min="13836" max="13836" width="6.42578125" style="17" customWidth="1"/>
    <col min="13837" max="13837" width="12.7109375" style="17" customWidth="1"/>
    <col min="13838" max="14080" width="9.140625" style="17"/>
    <col min="14081" max="14081" width="5.28515625" style="17" customWidth="1"/>
    <col min="14082" max="14082" width="9.28515625" style="17" customWidth="1"/>
    <col min="14083" max="14083" width="9.140625" style="17"/>
    <col min="14084" max="14084" width="5.85546875" style="17" customWidth="1"/>
    <col min="14085" max="14085" width="2.7109375" style="17" customWidth="1"/>
    <col min="14086" max="14086" width="6.28515625" style="17" customWidth="1"/>
    <col min="14087" max="14087" width="13.140625" style="17" customWidth="1"/>
    <col min="14088" max="14090" width="4.7109375" style="17" customWidth="1"/>
    <col min="14091" max="14091" width="5.42578125" style="17" customWidth="1"/>
    <col min="14092" max="14092" width="6.42578125" style="17" customWidth="1"/>
    <col min="14093" max="14093" width="12.7109375" style="17" customWidth="1"/>
    <col min="14094" max="14336" width="9.140625" style="17"/>
    <col min="14337" max="14337" width="5.28515625" style="17" customWidth="1"/>
    <col min="14338" max="14338" width="9.28515625" style="17" customWidth="1"/>
    <col min="14339" max="14339" width="9.140625" style="17"/>
    <col min="14340" max="14340" width="5.85546875" style="17" customWidth="1"/>
    <col min="14341" max="14341" width="2.7109375" style="17" customWidth="1"/>
    <col min="14342" max="14342" width="6.28515625" style="17" customWidth="1"/>
    <col min="14343" max="14343" width="13.140625" style="17" customWidth="1"/>
    <col min="14344" max="14346" width="4.7109375" style="17" customWidth="1"/>
    <col min="14347" max="14347" width="5.42578125" style="17" customWidth="1"/>
    <col min="14348" max="14348" width="6.42578125" style="17" customWidth="1"/>
    <col min="14349" max="14349" width="12.7109375" style="17" customWidth="1"/>
    <col min="14350" max="14592" width="9.140625" style="17"/>
    <col min="14593" max="14593" width="5.28515625" style="17" customWidth="1"/>
    <col min="14594" max="14594" width="9.28515625" style="17" customWidth="1"/>
    <col min="14595" max="14595" width="9.140625" style="17"/>
    <col min="14596" max="14596" width="5.85546875" style="17" customWidth="1"/>
    <col min="14597" max="14597" width="2.7109375" style="17" customWidth="1"/>
    <col min="14598" max="14598" width="6.28515625" style="17" customWidth="1"/>
    <col min="14599" max="14599" width="13.140625" style="17" customWidth="1"/>
    <col min="14600" max="14602" width="4.7109375" style="17" customWidth="1"/>
    <col min="14603" max="14603" width="5.42578125" style="17" customWidth="1"/>
    <col min="14604" max="14604" width="6.42578125" style="17" customWidth="1"/>
    <col min="14605" max="14605" width="12.7109375" style="17" customWidth="1"/>
    <col min="14606" max="14848" width="9.140625" style="17"/>
    <col min="14849" max="14849" width="5.28515625" style="17" customWidth="1"/>
    <col min="14850" max="14850" width="9.28515625" style="17" customWidth="1"/>
    <col min="14851" max="14851" width="9.140625" style="17"/>
    <col min="14852" max="14852" width="5.85546875" style="17" customWidth="1"/>
    <col min="14853" max="14853" width="2.7109375" style="17" customWidth="1"/>
    <col min="14854" max="14854" width="6.28515625" style="17" customWidth="1"/>
    <col min="14855" max="14855" width="13.140625" style="17" customWidth="1"/>
    <col min="14856" max="14858" width="4.7109375" style="17" customWidth="1"/>
    <col min="14859" max="14859" width="5.42578125" style="17" customWidth="1"/>
    <col min="14860" max="14860" width="6.42578125" style="17" customWidth="1"/>
    <col min="14861" max="14861" width="12.7109375" style="17" customWidth="1"/>
    <col min="14862" max="15104" width="9.140625" style="17"/>
    <col min="15105" max="15105" width="5.28515625" style="17" customWidth="1"/>
    <col min="15106" max="15106" width="9.28515625" style="17" customWidth="1"/>
    <col min="15107" max="15107" width="9.140625" style="17"/>
    <col min="15108" max="15108" width="5.85546875" style="17" customWidth="1"/>
    <col min="15109" max="15109" width="2.7109375" style="17" customWidth="1"/>
    <col min="15110" max="15110" width="6.28515625" style="17" customWidth="1"/>
    <col min="15111" max="15111" width="13.140625" style="17" customWidth="1"/>
    <col min="15112" max="15114" width="4.7109375" style="17" customWidth="1"/>
    <col min="15115" max="15115" width="5.42578125" style="17" customWidth="1"/>
    <col min="15116" max="15116" width="6.42578125" style="17" customWidth="1"/>
    <col min="15117" max="15117" width="12.7109375" style="17" customWidth="1"/>
    <col min="15118" max="15360" width="9.140625" style="17"/>
    <col min="15361" max="15361" width="5.28515625" style="17" customWidth="1"/>
    <col min="15362" max="15362" width="9.28515625" style="17" customWidth="1"/>
    <col min="15363" max="15363" width="9.140625" style="17"/>
    <col min="15364" max="15364" width="5.85546875" style="17" customWidth="1"/>
    <col min="15365" max="15365" width="2.7109375" style="17" customWidth="1"/>
    <col min="15366" max="15366" width="6.28515625" style="17" customWidth="1"/>
    <col min="15367" max="15367" width="13.140625" style="17" customWidth="1"/>
    <col min="15368" max="15370" width="4.7109375" style="17" customWidth="1"/>
    <col min="15371" max="15371" width="5.42578125" style="17" customWidth="1"/>
    <col min="15372" max="15372" width="6.42578125" style="17" customWidth="1"/>
    <col min="15373" max="15373" width="12.7109375" style="17" customWidth="1"/>
    <col min="15374" max="15616" width="9.140625" style="17"/>
    <col min="15617" max="15617" width="5.28515625" style="17" customWidth="1"/>
    <col min="15618" max="15618" width="9.28515625" style="17" customWidth="1"/>
    <col min="15619" max="15619" width="9.140625" style="17"/>
    <col min="15620" max="15620" width="5.85546875" style="17" customWidth="1"/>
    <col min="15621" max="15621" width="2.7109375" style="17" customWidth="1"/>
    <col min="15622" max="15622" width="6.28515625" style="17" customWidth="1"/>
    <col min="15623" max="15623" width="13.140625" style="17" customWidth="1"/>
    <col min="15624" max="15626" width="4.7109375" style="17" customWidth="1"/>
    <col min="15627" max="15627" width="5.42578125" style="17" customWidth="1"/>
    <col min="15628" max="15628" width="6.42578125" style="17" customWidth="1"/>
    <col min="15629" max="15629" width="12.7109375" style="17" customWidth="1"/>
    <col min="15630" max="15872" width="9.140625" style="17"/>
    <col min="15873" max="15873" width="5.28515625" style="17" customWidth="1"/>
    <col min="15874" max="15874" width="9.28515625" style="17" customWidth="1"/>
    <col min="15875" max="15875" width="9.140625" style="17"/>
    <col min="15876" max="15876" width="5.85546875" style="17" customWidth="1"/>
    <col min="15877" max="15877" width="2.7109375" style="17" customWidth="1"/>
    <col min="15878" max="15878" width="6.28515625" style="17" customWidth="1"/>
    <col min="15879" max="15879" width="13.140625" style="17" customWidth="1"/>
    <col min="15880" max="15882" width="4.7109375" style="17" customWidth="1"/>
    <col min="15883" max="15883" width="5.42578125" style="17" customWidth="1"/>
    <col min="15884" max="15884" width="6.42578125" style="17" customWidth="1"/>
    <col min="15885" max="15885" width="12.7109375" style="17" customWidth="1"/>
    <col min="15886" max="16128" width="9.140625" style="17"/>
    <col min="16129" max="16129" width="5.28515625" style="17" customWidth="1"/>
    <col min="16130" max="16130" width="9.28515625" style="17" customWidth="1"/>
    <col min="16131" max="16131" width="9.140625" style="17"/>
    <col min="16132" max="16132" width="5.85546875" style="17" customWidth="1"/>
    <col min="16133" max="16133" width="2.7109375" style="17" customWidth="1"/>
    <col min="16134" max="16134" width="6.28515625" style="17" customWidth="1"/>
    <col min="16135" max="16135" width="13.140625" style="17" customWidth="1"/>
    <col min="16136" max="16138" width="4.7109375" style="17" customWidth="1"/>
    <col min="16139" max="16139" width="5.42578125" style="17" customWidth="1"/>
    <col min="16140" max="16140" width="6.42578125" style="17" customWidth="1"/>
    <col min="16141" max="16141" width="12.7109375" style="17" customWidth="1"/>
    <col min="16142" max="16384" width="9.140625" style="17"/>
  </cols>
  <sheetData>
    <row r="1" spans="1:13" ht="18.75" x14ac:dyDescent="0.3">
      <c r="A1" s="479" t="s">
        <v>62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</row>
    <row r="2" spans="1:13" x14ac:dyDescent="0.25">
      <c r="A2" s="401" t="s">
        <v>63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</row>
    <row r="3" spans="1:13" x14ac:dyDescent="0.25">
      <c r="A3" s="401" t="s">
        <v>64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</row>
    <row r="4" spans="1:13" ht="9.75" customHeight="1" x14ac:dyDescent="0.25"/>
    <row r="5" spans="1:13" ht="14.45" customHeight="1" x14ac:dyDescent="0.25">
      <c r="A5" s="458" t="s">
        <v>65</v>
      </c>
      <c r="B5" s="458"/>
      <c r="C5" s="458"/>
      <c r="D5" s="458"/>
      <c r="E5" s="480" t="s">
        <v>66</v>
      </c>
      <c r="F5" s="480"/>
      <c r="G5" s="480"/>
      <c r="H5" s="480"/>
      <c r="I5" s="480"/>
      <c r="J5" s="480"/>
      <c r="K5" s="480"/>
      <c r="L5" s="480"/>
      <c r="M5" s="480"/>
    </row>
    <row r="6" spans="1:13" ht="14.45" customHeight="1" x14ac:dyDescent="0.25">
      <c r="A6" s="458"/>
      <c r="B6" s="458"/>
      <c r="C6" s="458"/>
      <c r="D6" s="458"/>
      <c r="E6" s="480"/>
      <c r="F6" s="480"/>
      <c r="G6" s="480"/>
      <c r="H6" s="480"/>
      <c r="I6" s="480"/>
      <c r="J6" s="480"/>
      <c r="K6" s="480"/>
      <c r="L6" s="480"/>
      <c r="M6" s="480"/>
    </row>
    <row r="7" spans="1:13" ht="14.45" customHeight="1" x14ac:dyDescent="0.25">
      <c r="A7" s="458"/>
      <c r="B7" s="458"/>
      <c r="C7" s="458"/>
      <c r="D7" s="458"/>
      <c r="E7" s="480"/>
      <c r="F7" s="480"/>
      <c r="G7" s="480"/>
      <c r="H7" s="480"/>
      <c r="I7" s="480"/>
      <c r="J7" s="480"/>
      <c r="K7" s="480"/>
      <c r="L7" s="480"/>
      <c r="M7" s="480"/>
    </row>
    <row r="8" spans="1:13" ht="90" customHeight="1" x14ac:dyDescent="0.25">
      <c r="A8" s="458"/>
      <c r="B8" s="458"/>
      <c r="C8" s="458"/>
      <c r="D8" s="458"/>
      <c r="E8" s="480"/>
      <c r="F8" s="480"/>
      <c r="G8" s="480"/>
      <c r="H8" s="480"/>
      <c r="I8" s="480"/>
      <c r="J8" s="480"/>
      <c r="K8" s="480"/>
      <c r="L8" s="480"/>
      <c r="M8" s="480"/>
    </row>
    <row r="9" spans="1:13" ht="14.45" customHeight="1" x14ac:dyDescent="0.25">
      <c r="A9" s="458" t="s">
        <v>67</v>
      </c>
      <c r="B9" s="458"/>
      <c r="C9" s="458"/>
      <c r="D9" s="458"/>
      <c r="E9" s="481" t="s">
        <v>68</v>
      </c>
      <c r="F9" s="481"/>
      <c r="G9" s="481"/>
      <c r="H9" s="481"/>
      <c r="I9" s="481"/>
      <c r="J9" s="481"/>
      <c r="K9" s="481"/>
      <c r="L9" s="481"/>
      <c r="M9" s="481"/>
    </row>
    <row r="10" spans="1:13" ht="14.45" customHeight="1" x14ac:dyDescent="0.25">
      <c r="A10" s="458"/>
      <c r="B10" s="458"/>
      <c r="C10" s="458"/>
      <c r="D10" s="458"/>
      <c r="E10" s="481"/>
      <c r="F10" s="481"/>
      <c r="G10" s="481"/>
      <c r="H10" s="481"/>
      <c r="I10" s="481"/>
      <c r="J10" s="481"/>
      <c r="K10" s="481"/>
      <c r="L10" s="481"/>
      <c r="M10" s="481"/>
    </row>
    <row r="11" spans="1:13" ht="14.45" customHeight="1" x14ac:dyDescent="0.25">
      <c r="A11" s="458" t="s">
        <v>69</v>
      </c>
      <c r="B11" s="458"/>
      <c r="C11" s="458"/>
      <c r="D11" s="458"/>
      <c r="E11" s="459" t="s">
        <v>70</v>
      </c>
      <c r="F11" s="459"/>
      <c r="G11" s="459"/>
      <c r="H11" s="459"/>
      <c r="I11" s="459"/>
      <c r="J11" s="459"/>
      <c r="K11" s="459"/>
      <c r="L11" s="459"/>
      <c r="M11" s="459"/>
    </row>
    <row r="12" spans="1:13" ht="16.899999999999999" customHeight="1" thickBot="1" x14ac:dyDescent="0.3">
      <c r="A12" s="458"/>
      <c r="B12" s="458"/>
      <c r="C12" s="458"/>
      <c r="D12" s="458"/>
      <c r="E12" s="460"/>
      <c r="F12" s="460"/>
      <c r="G12" s="460"/>
      <c r="H12" s="460"/>
      <c r="I12" s="460"/>
      <c r="J12" s="460"/>
      <c r="K12" s="460"/>
      <c r="L12" s="460"/>
      <c r="M12" s="460"/>
    </row>
    <row r="13" spans="1:13" ht="15" customHeight="1" x14ac:dyDescent="0.25">
      <c r="A13" s="461" t="s">
        <v>71</v>
      </c>
      <c r="B13" s="464" t="s">
        <v>72</v>
      </c>
      <c r="C13" s="465"/>
      <c r="D13" s="466"/>
      <c r="E13" s="464" t="s">
        <v>73</v>
      </c>
      <c r="F13" s="465"/>
      <c r="G13" s="466"/>
      <c r="H13" s="464" t="s">
        <v>74</v>
      </c>
      <c r="I13" s="465"/>
      <c r="J13" s="465"/>
      <c r="K13" s="473"/>
      <c r="L13" s="466"/>
      <c r="M13" s="476" t="s">
        <v>75</v>
      </c>
    </row>
    <row r="14" spans="1:13" x14ac:dyDescent="0.25">
      <c r="A14" s="462"/>
      <c r="B14" s="467"/>
      <c r="C14" s="468"/>
      <c r="D14" s="469"/>
      <c r="E14" s="467"/>
      <c r="F14" s="468"/>
      <c r="G14" s="469"/>
      <c r="H14" s="467"/>
      <c r="I14" s="468"/>
      <c r="J14" s="468"/>
      <c r="K14" s="474"/>
      <c r="L14" s="469"/>
      <c r="M14" s="477"/>
    </row>
    <row r="15" spans="1:13" x14ac:dyDescent="0.25">
      <c r="A15" s="462"/>
      <c r="B15" s="467"/>
      <c r="C15" s="468"/>
      <c r="D15" s="469"/>
      <c r="E15" s="467"/>
      <c r="F15" s="468"/>
      <c r="G15" s="469"/>
      <c r="H15" s="467"/>
      <c r="I15" s="468"/>
      <c r="J15" s="468"/>
      <c r="K15" s="474"/>
      <c r="L15" s="469"/>
      <c r="M15" s="477"/>
    </row>
    <row r="16" spans="1:13" x14ac:dyDescent="0.25">
      <c r="A16" s="462"/>
      <c r="B16" s="467"/>
      <c r="C16" s="468"/>
      <c r="D16" s="469"/>
      <c r="E16" s="467"/>
      <c r="F16" s="468"/>
      <c r="G16" s="469"/>
      <c r="H16" s="467"/>
      <c r="I16" s="468"/>
      <c r="J16" s="468"/>
      <c r="K16" s="474"/>
      <c r="L16" s="469"/>
      <c r="M16" s="477"/>
    </row>
    <row r="17" spans="1:13" x14ac:dyDescent="0.25">
      <c r="A17" s="462"/>
      <c r="B17" s="467"/>
      <c r="C17" s="468"/>
      <c r="D17" s="469"/>
      <c r="E17" s="467"/>
      <c r="F17" s="468"/>
      <c r="G17" s="469"/>
      <c r="H17" s="467"/>
      <c r="I17" s="468"/>
      <c r="J17" s="468"/>
      <c r="K17" s="474"/>
      <c r="L17" s="469"/>
      <c r="M17" s="477"/>
    </row>
    <row r="18" spans="1:13" ht="24" customHeight="1" thickBot="1" x14ac:dyDescent="0.3">
      <c r="A18" s="463"/>
      <c r="B18" s="470"/>
      <c r="C18" s="471"/>
      <c r="D18" s="472"/>
      <c r="E18" s="470"/>
      <c r="F18" s="471"/>
      <c r="G18" s="472"/>
      <c r="H18" s="470"/>
      <c r="I18" s="471"/>
      <c r="J18" s="471"/>
      <c r="K18" s="475"/>
      <c r="L18" s="472"/>
      <c r="M18" s="478"/>
    </row>
    <row r="19" spans="1:13" ht="15.75" thickBot="1" x14ac:dyDescent="0.3">
      <c r="A19" s="18">
        <v>1</v>
      </c>
      <c r="B19" s="482">
        <v>2</v>
      </c>
      <c r="C19" s="483"/>
      <c r="D19" s="484"/>
      <c r="E19" s="482">
        <v>3</v>
      </c>
      <c r="F19" s="483"/>
      <c r="G19" s="484"/>
      <c r="H19" s="482">
        <v>4</v>
      </c>
      <c r="I19" s="483"/>
      <c r="J19" s="483"/>
      <c r="K19" s="485"/>
      <c r="L19" s="484"/>
      <c r="M19" s="18">
        <v>5</v>
      </c>
    </row>
    <row r="20" spans="1:13" x14ac:dyDescent="0.25">
      <c r="A20" s="19" t="s">
        <v>76</v>
      </c>
      <c r="B20" s="453" t="s">
        <v>77</v>
      </c>
      <c r="C20" s="454"/>
      <c r="D20" s="455"/>
      <c r="E20" s="454" t="s">
        <v>78</v>
      </c>
      <c r="F20" s="454"/>
      <c r="G20" s="455"/>
      <c r="H20" s="456">
        <v>2578</v>
      </c>
      <c r="I20" s="457"/>
      <c r="J20" s="454" t="s">
        <v>79</v>
      </c>
      <c r="K20" s="454"/>
      <c r="L20" s="455"/>
      <c r="M20" s="20">
        <f>H20*C23*0.5*1.55*1.3*1.3*1.4</f>
        <v>401.80772450000006</v>
      </c>
    </row>
    <row r="21" spans="1:13" x14ac:dyDescent="0.25">
      <c r="A21" s="21"/>
      <c r="B21" s="410" t="s">
        <v>80</v>
      </c>
      <c r="C21" s="411"/>
      <c r="D21" s="412"/>
      <c r="E21" s="411" t="s">
        <v>81</v>
      </c>
      <c r="F21" s="411"/>
      <c r="G21" s="412"/>
      <c r="H21" s="415"/>
      <c r="I21" s="413"/>
      <c r="J21" s="22" t="s">
        <v>82</v>
      </c>
      <c r="K21" s="22"/>
      <c r="L21" s="23"/>
      <c r="M21" s="24"/>
    </row>
    <row r="22" spans="1:13" x14ac:dyDescent="0.25">
      <c r="A22" s="21"/>
      <c r="B22" s="410" t="s">
        <v>83</v>
      </c>
      <c r="C22" s="411"/>
      <c r="D22" s="412"/>
      <c r="E22" s="411" t="s">
        <v>84</v>
      </c>
      <c r="F22" s="411"/>
      <c r="G22" s="412"/>
      <c r="H22" s="415"/>
      <c r="I22" s="413"/>
      <c r="J22" s="22"/>
      <c r="K22" s="22"/>
      <c r="L22" s="23"/>
      <c r="M22" s="24"/>
    </row>
    <row r="23" spans="1:13" x14ac:dyDescent="0.25">
      <c r="A23" s="21"/>
      <c r="B23" s="25" t="s">
        <v>85</v>
      </c>
      <c r="C23" s="26">
        <v>8.5000000000000006E-2</v>
      </c>
      <c r="D23" s="27" t="s">
        <v>86</v>
      </c>
      <c r="E23" s="411" t="s">
        <v>87</v>
      </c>
      <c r="F23" s="411"/>
      <c r="G23" s="412"/>
      <c r="H23" s="415"/>
      <c r="I23" s="413"/>
      <c r="J23" s="22"/>
      <c r="K23" s="22"/>
      <c r="L23" s="23"/>
      <c r="M23" s="24"/>
    </row>
    <row r="24" spans="1:13" x14ac:dyDescent="0.25">
      <c r="A24" s="21"/>
      <c r="B24" s="25"/>
      <c r="C24" s="26"/>
      <c r="D24" s="27"/>
      <c r="E24" s="411" t="s">
        <v>88</v>
      </c>
      <c r="F24" s="411"/>
      <c r="G24" s="412"/>
      <c r="H24" s="28"/>
      <c r="I24" s="29"/>
      <c r="J24" s="22"/>
      <c r="K24" s="22"/>
      <c r="L24" s="23"/>
      <c r="M24" s="24"/>
    </row>
    <row r="25" spans="1:13" x14ac:dyDescent="0.25">
      <c r="A25" s="21"/>
      <c r="B25" s="25"/>
      <c r="C25" s="26"/>
      <c r="D25" s="27"/>
      <c r="E25" s="411" t="s">
        <v>89</v>
      </c>
      <c r="F25" s="411"/>
      <c r="G25" s="412"/>
      <c r="H25" s="28"/>
      <c r="I25" s="29"/>
      <c r="J25" s="22"/>
      <c r="K25" s="22"/>
      <c r="L25" s="23"/>
      <c r="M25" s="24"/>
    </row>
    <row r="26" spans="1:13" x14ac:dyDescent="0.25">
      <c r="A26" s="21"/>
      <c r="B26" s="25"/>
      <c r="C26" s="26"/>
      <c r="D26" s="27"/>
      <c r="E26" s="30" t="s">
        <v>90</v>
      </c>
      <c r="F26" s="30"/>
      <c r="G26" s="31"/>
      <c r="H26" s="28"/>
      <c r="I26" s="29"/>
      <c r="J26" s="22"/>
      <c r="K26" s="22"/>
      <c r="L26" s="23"/>
      <c r="M26" s="24"/>
    </row>
    <row r="27" spans="1:13" x14ac:dyDescent="0.25">
      <c r="A27" s="21"/>
      <c r="B27" s="25"/>
      <c r="C27" s="26"/>
      <c r="D27" s="27"/>
      <c r="E27" s="30" t="s">
        <v>91</v>
      </c>
      <c r="F27" s="30"/>
      <c r="G27" s="31"/>
      <c r="H27" s="28"/>
      <c r="I27" s="29"/>
      <c r="J27" s="22"/>
      <c r="K27" s="22"/>
      <c r="L27" s="23"/>
      <c r="M27" s="24"/>
    </row>
    <row r="28" spans="1:13" x14ac:dyDescent="0.25">
      <c r="A28" s="32" t="s">
        <v>92</v>
      </c>
      <c r="B28" s="450" t="s">
        <v>93</v>
      </c>
      <c r="C28" s="451"/>
      <c r="D28" s="452"/>
      <c r="E28" s="429" t="s">
        <v>94</v>
      </c>
      <c r="F28" s="429"/>
      <c r="G28" s="425"/>
      <c r="H28" s="449" t="s">
        <v>95</v>
      </c>
      <c r="I28" s="441"/>
      <c r="J28" s="33" t="s">
        <v>96</v>
      </c>
      <c r="K28" s="33"/>
      <c r="L28" s="34"/>
      <c r="M28" s="35">
        <f>(740+233)*C29*1.3</f>
        <v>147.51142103579642</v>
      </c>
    </row>
    <row r="29" spans="1:13" x14ac:dyDescent="0.25">
      <c r="A29" s="21"/>
      <c r="B29" s="36" t="s">
        <v>97</v>
      </c>
      <c r="C29" s="37">
        <f>(SQRT(C23))*4/10</f>
        <v>0.11661903789690602</v>
      </c>
      <c r="D29" s="38" t="s">
        <v>98</v>
      </c>
      <c r="E29" s="411" t="s">
        <v>99</v>
      </c>
      <c r="F29" s="411"/>
      <c r="G29" s="412"/>
      <c r="H29" s="415"/>
      <c r="I29" s="413"/>
      <c r="J29" s="22"/>
      <c r="K29" s="22"/>
      <c r="L29" s="23"/>
      <c r="M29" s="24"/>
    </row>
    <row r="30" spans="1:13" x14ac:dyDescent="0.25">
      <c r="A30" s="32" t="s">
        <v>100</v>
      </c>
      <c r="B30" s="446" t="s">
        <v>101</v>
      </c>
      <c r="C30" s="447"/>
      <c r="D30" s="448"/>
      <c r="E30" s="429" t="s">
        <v>84</v>
      </c>
      <c r="F30" s="429"/>
      <c r="G30" s="425"/>
      <c r="H30" s="449"/>
      <c r="I30" s="441"/>
      <c r="J30" s="39"/>
      <c r="K30" s="39"/>
      <c r="L30" s="40"/>
      <c r="M30" s="35"/>
    </row>
    <row r="31" spans="1:13" x14ac:dyDescent="0.25">
      <c r="A31" s="21"/>
      <c r="B31" s="446" t="s">
        <v>102</v>
      </c>
      <c r="C31" s="447"/>
      <c r="D31" s="448"/>
      <c r="E31" s="41"/>
      <c r="F31" s="30"/>
      <c r="G31" s="27"/>
      <c r="H31" s="415"/>
      <c r="I31" s="413"/>
      <c r="J31" s="22"/>
      <c r="K31" s="22"/>
      <c r="L31" s="23"/>
      <c r="M31" s="24"/>
    </row>
    <row r="32" spans="1:13" x14ac:dyDescent="0.25">
      <c r="A32" s="21"/>
      <c r="B32" s="25" t="s">
        <v>85</v>
      </c>
      <c r="C32" s="26">
        <f>C23</f>
        <v>8.5000000000000006E-2</v>
      </c>
      <c r="D32" s="27" t="s">
        <v>86</v>
      </c>
      <c r="E32" s="41" t="s">
        <v>103</v>
      </c>
      <c r="F32" s="30">
        <v>1.3</v>
      </c>
      <c r="G32" s="27" t="s">
        <v>104</v>
      </c>
      <c r="H32" s="415"/>
      <c r="I32" s="413"/>
      <c r="J32" s="22"/>
      <c r="K32" s="22"/>
      <c r="L32" s="23"/>
      <c r="M32" s="24"/>
    </row>
    <row r="33" spans="1:13" x14ac:dyDescent="0.25">
      <c r="A33" s="21"/>
      <c r="B33" s="435" t="s">
        <v>105</v>
      </c>
      <c r="C33" s="436"/>
      <c r="D33" s="437"/>
      <c r="E33" s="41" t="s">
        <v>103</v>
      </c>
      <c r="F33" s="30">
        <v>0.4</v>
      </c>
      <c r="G33" s="27" t="s">
        <v>106</v>
      </c>
      <c r="H33" s="426">
        <v>2578</v>
      </c>
      <c r="I33" s="427"/>
      <c r="J33" s="411" t="s">
        <v>107</v>
      </c>
      <c r="K33" s="411"/>
      <c r="L33" s="412"/>
      <c r="M33" s="24">
        <f>H33*C32*F32*F33</f>
        <v>113.94760000000002</v>
      </c>
    </row>
    <row r="34" spans="1:13" x14ac:dyDescent="0.25">
      <c r="A34" s="21"/>
      <c r="B34" s="435" t="s">
        <v>108</v>
      </c>
      <c r="C34" s="436"/>
      <c r="D34" s="437"/>
      <c r="E34" s="41" t="s">
        <v>103</v>
      </c>
      <c r="F34" s="30">
        <v>0.55000000000000004</v>
      </c>
      <c r="G34" s="27" t="s">
        <v>106</v>
      </c>
      <c r="H34" s="426">
        <v>870</v>
      </c>
      <c r="I34" s="427"/>
      <c r="J34" s="444" t="s">
        <v>109</v>
      </c>
      <c r="K34" s="444"/>
      <c r="L34" s="445"/>
      <c r="M34" s="24">
        <f>H34*F34*C32</f>
        <v>40.672500000000007</v>
      </c>
    </row>
    <row r="35" spans="1:13" x14ac:dyDescent="0.25">
      <c r="A35" s="32"/>
      <c r="B35" s="428" t="s">
        <v>110</v>
      </c>
      <c r="C35" s="429"/>
      <c r="D35" s="425"/>
      <c r="E35" s="441"/>
      <c r="F35" s="441"/>
      <c r="G35" s="442"/>
      <c r="H35" s="443"/>
      <c r="I35" s="431"/>
      <c r="J35" s="39"/>
      <c r="K35" s="39"/>
      <c r="L35" s="40"/>
      <c r="M35" s="35"/>
    </row>
    <row r="36" spans="1:13" x14ac:dyDescent="0.25">
      <c r="A36" s="21"/>
      <c r="B36" s="435" t="s">
        <v>24</v>
      </c>
      <c r="C36" s="436"/>
      <c r="D36" s="437"/>
      <c r="E36" s="413"/>
      <c r="F36" s="413"/>
      <c r="G36" s="414"/>
      <c r="H36" s="426"/>
      <c r="I36" s="427"/>
      <c r="J36" s="433"/>
      <c r="K36" s="433"/>
      <c r="L36" s="434"/>
      <c r="M36" s="24">
        <f>M20+M28+M33</f>
        <v>663.26674553579642</v>
      </c>
    </row>
    <row r="37" spans="1:13" x14ac:dyDescent="0.25">
      <c r="A37" s="21"/>
      <c r="B37" s="435" t="s">
        <v>26</v>
      </c>
      <c r="C37" s="436"/>
      <c r="D37" s="437"/>
      <c r="E37" s="41" t="s">
        <v>103</v>
      </c>
      <c r="F37" s="30">
        <v>1.75</v>
      </c>
      <c r="G37" s="27" t="s">
        <v>111</v>
      </c>
      <c r="H37" s="438">
        <f>M34</f>
        <v>40.672500000000007</v>
      </c>
      <c r="I37" s="427"/>
      <c r="J37" s="42" t="s">
        <v>112</v>
      </c>
      <c r="K37" s="43">
        <v>1.75</v>
      </c>
      <c r="L37" s="44"/>
      <c r="M37" s="24">
        <f>H37*K37</f>
        <v>71.17687500000001</v>
      </c>
    </row>
    <row r="38" spans="1:13" x14ac:dyDescent="0.25">
      <c r="A38" s="32" t="s">
        <v>113</v>
      </c>
      <c r="B38" s="428" t="s">
        <v>114</v>
      </c>
      <c r="C38" s="429"/>
      <c r="D38" s="425"/>
      <c r="E38" s="429" t="s">
        <v>115</v>
      </c>
      <c r="F38" s="429"/>
      <c r="G38" s="425"/>
      <c r="H38" s="430">
        <f>M36</f>
        <v>663.26674553579642</v>
      </c>
      <c r="I38" s="431"/>
      <c r="J38" s="29" t="s">
        <v>112</v>
      </c>
      <c r="K38" s="439">
        <f>F39</f>
        <v>0.13750000000000001</v>
      </c>
      <c r="L38" s="440"/>
      <c r="M38" s="35">
        <f>M36*F39</f>
        <v>91.19917751117201</v>
      </c>
    </row>
    <row r="39" spans="1:13" x14ac:dyDescent="0.25">
      <c r="A39" s="21"/>
      <c r="B39" s="410" t="s">
        <v>116</v>
      </c>
      <c r="C39" s="411"/>
      <c r="D39" s="45">
        <v>0.13750000000000001</v>
      </c>
      <c r="E39" s="41" t="s">
        <v>103</v>
      </c>
      <c r="F39" s="46">
        <f>D39</f>
        <v>0.13750000000000001</v>
      </c>
      <c r="G39" s="27"/>
      <c r="H39" s="426"/>
      <c r="I39" s="427"/>
      <c r="J39" s="22"/>
      <c r="K39" s="22"/>
      <c r="L39" s="23"/>
      <c r="M39" s="24"/>
    </row>
    <row r="40" spans="1:13" x14ac:dyDescent="0.25">
      <c r="A40" s="21"/>
      <c r="B40" s="410" t="s">
        <v>117</v>
      </c>
      <c r="C40" s="411"/>
      <c r="D40" s="412"/>
      <c r="E40" s="413"/>
      <c r="F40" s="413"/>
      <c r="G40" s="414"/>
      <c r="H40" s="426"/>
      <c r="I40" s="427"/>
      <c r="J40" s="22"/>
      <c r="K40" s="22"/>
      <c r="L40" s="23"/>
      <c r="M40" s="24"/>
    </row>
    <row r="41" spans="1:13" x14ac:dyDescent="0.25">
      <c r="A41" s="21"/>
      <c r="B41" s="410" t="s">
        <v>118</v>
      </c>
      <c r="C41" s="411"/>
      <c r="D41" s="412"/>
      <c r="E41" s="413"/>
      <c r="F41" s="413"/>
      <c r="G41" s="414"/>
      <c r="H41" s="426"/>
      <c r="I41" s="427"/>
      <c r="J41" s="22"/>
      <c r="K41" s="22"/>
      <c r="L41" s="23"/>
      <c r="M41" s="24"/>
    </row>
    <row r="42" spans="1:13" x14ac:dyDescent="0.25">
      <c r="A42" s="32" t="s">
        <v>119</v>
      </c>
      <c r="B42" s="428" t="s">
        <v>120</v>
      </c>
      <c r="C42" s="429"/>
      <c r="D42" s="425"/>
      <c r="E42" s="429" t="s">
        <v>121</v>
      </c>
      <c r="F42" s="429"/>
      <c r="G42" s="425"/>
      <c r="H42" s="430">
        <f>M36</f>
        <v>663.26674553579642</v>
      </c>
      <c r="I42" s="431"/>
      <c r="J42" s="47" t="s">
        <v>122</v>
      </c>
      <c r="K42" s="424">
        <f>M38</f>
        <v>91.19917751117201</v>
      </c>
      <c r="L42" s="432"/>
      <c r="M42" s="35">
        <f>(M36+M38)*F43*F44</f>
        <v>549.25119197819299</v>
      </c>
    </row>
    <row r="43" spans="1:13" x14ac:dyDescent="0.25">
      <c r="A43" s="21"/>
      <c r="B43" s="410" t="s">
        <v>123</v>
      </c>
      <c r="C43" s="411"/>
      <c r="D43" s="412"/>
      <c r="E43" s="41" t="s">
        <v>103</v>
      </c>
      <c r="F43" s="46">
        <f>D44</f>
        <v>0.36399999999999999</v>
      </c>
      <c r="G43" s="27"/>
      <c r="H43" s="426" t="s">
        <v>124</v>
      </c>
      <c r="I43" s="427"/>
      <c r="J43" s="30"/>
      <c r="K43" s="30"/>
      <c r="L43" s="31"/>
      <c r="M43" s="24"/>
    </row>
    <row r="44" spans="1:13" x14ac:dyDescent="0.25">
      <c r="A44" s="21"/>
      <c r="B44" s="410" t="s">
        <v>125</v>
      </c>
      <c r="C44" s="411"/>
      <c r="D44" s="48">
        <v>0.36399999999999999</v>
      </c>
      <c r="E44" s="41" t="s">
        <v>103</v>
      </c>
      <c r="F44" s="30">
        <v>2</v>
      </c>
      <c r="G44" s="27" t="s">
        <v>126</v>
      </c>
      <c r="H44" s="426"/>
      <c r="I44" s="427"/>
      <c r="J44" s="30"/>
      <c r="K44" s="30"/>
      <c r="L44" s="31"/>
      <c r="M44" s="24"/>
    </row>
    <row r="45" spans="1:13" x14ac:dyDescent="0.25">
      <c r="A45" s="49"/>
      <c r="B45" s="410" t="s">
        <v>127</v>
      </c>
      <c r="C45" s="411"/>
      <c r="D45" s="412"/>
      <c r="E45" s="413"/>
      <c r="F45" s="413"/>
      <c r="G45" s="414"/>
      <c r="H45" s="426"/>
      <c r="I45" s="427"/>
      <c r="J45" s="41"/>
      <c r="K45" s="41"/>
      <c r="L45" s="27"/>
      <c r="M45" s="50"/>
    </row>
    <row r="46" spans="1:13" x14ac:dyDescent="0.25">
      <c r="A46" s="51" t="s">
        <v>128</v>
      </c>
      <c r="B46" s="428" t="s">
        <v>129</v>
      </c>
      <c r="C46" s="429"/>
      <c r="D46" s="425"/>
      <c r="E46" s="429" t="s">
        <v>130</v>
      </c>
      <c r="F46" s="429"/>
      <c r="G46" s="425"/>
      <c r="H46" s="430">
        <f>M36</f>
        <v>663.26674553579642</v>
      </c>
      <c r="I46" s="431"/>
      <c r="J46" s="47" t="s">
        <v>122</v>
      </c>
      <c r="K46" s="424">
        <f>M38</f>
        <v>91.19917751117201</v>
      </c>
      <c r="L46" s="425"/>
      <c r="M46" s="35">
        <f>(M36+M38)*F47*F48</f>
        <v>113.16988845704526</v>
      </c>
    </row>
    <row r="47" spans="1:13" x14ac:dyDescent="0.25">
      <c r="A47" s="49"/>
      <c r="B47" s="415" t="s">
        <v>131</v>
      </c>
      <c r="C47" s="413"/>
      <c r="D47" s="52">
        <v>0.06</v>
      </c>
      <c r="E47" s="41" t="s">
        <v>103</v>
      </c>
      <c r="F47" s="30">
        <v>0.06</v>
      </c>
      <c r="G47" s="27"/>
      <c r="H47" s="415" t="s">
        <v>132</v>
      </c>
      <c r="I47" s="413"/>
      <c r="J47" s="53"/>
      <c r="K47" s="53"/>
      <c r="L47" s="54"/>
      <c r="M47" s="55"/>
    </row>
    <row r="48" spans="1:13" x14ac:dyDescent="0.25">
      <c r="A48" s="49"/>
      <c r="B48" s="410" t="s">
        <v>133</v>
      </c>
      <c r="C48" s="411"/>
      <c r="D48" s="412"/>
      <c r="E48" s="41" t="s">
        <v>103</v>
      </c>
      <c r="F48" s="30">
        <v>2.5</v>
      </c>
      <c r="G48" s="27" t="s">
        <v>134</v>
      </c>
      <c r="H48" s="415"/>
      <c r="I48" s="413"/>
      <c r="J48" s="53"/>
      <c r="K48" s="53"/>
      <c r="L48" s="54"/>
      <c r="M48" s="55"/>
    </row>
    <row r="49" spans="1:13" x14ac:dyDescent="0.25">
      <c r="A49" s="49"/>
      <c r="B49" s="410" t="s">
        <v>135</v>
      </c>
      <c r="C49" s="411"/>
      <c r="D49" s="412"/>
      <c r="E49" s="413"/>
      <c r="F49" s="413"/>
      <c r="G49" s="414"/>
      <c r="H49" s="415"/>
      <c r="I49" s="413"/>
      <c r="J49" s="53"/>
      <c r="K49" s="53"/>
      <c r="L49" s="54"/>
      <c r="M49" s="55"/>
    </row>
    <row r="50" spans="1:13" x14ac:dyDescent="0.25">
      <c r="A50" s="49"/>
      <c r="B50" s="410" t="s">
        <v>136</v>
      </c>
      <c r="C50" s="411"/>
      <c r="D50" s="412"/>
      <c r="E50" s="413"/>
      <c r="F50" s="413"/>
      <c r="G50" s="414"/>
      <c r="H50" s="415"/>
      <c r="I50" s="413"/>
      <c r="J50" s="53"/>
      <c r="K50" s="53"/>
      <c r="L50" s="54"/>
      <c r="M50" s="55"/>
    </row>
    <row r="51" spans="1:13" x14ac:dyDescent="0.25">
      <c r="A51" s="56" t="s">
        <v>137</v>
      </c>
      <c r="B51" s="416" t="s">
        <v>138</v>
      </c>
      <c r="C51" s="417"/>
      <c r="D51" s="418"/>
      <c r="E51" s="419"/>
      <c r="F51" s="419"/>
      <c r="G51" s="420"/>
      <c r="H51" s="421"/>
      <c r="I51" s="422"/>
      <c r="J51" s="422"/>
      <c r="K51" s="422"/>
      <c r="L51" s="423"/>
      <c r="M51" s="57">
        <f>M36+M37+M38+M42+M46</f>
        <v>1488.0638784822067</v>
      </c>
    </row>
    <row r="52" spans="1:13" ht="40.5" customHeight="1" thickBot="1" x14ac:dyDescent="0.3">
      <c r="A52" s="58" t="s">
        <v>139</v>
      </c>
      <c r="B52" s="403" t="s">
        <v>460</v>
      </c>
      <c r="C52" s="404"/>
      <c r="D52" s="405"/>
      <c r="E52" s="59" t="s">
        <v>103</v>
      </c>
      <c r="F52" s="333">
        <v>4.4000000000000004</v>
      </c>
      <c r="G52" s="60"/>
      <c r="H52" s="406"/>
      <c r="I52" s="407"/>
      <c r="J52" s="408"/>
      <c r="K52" s="408"/>
      <c r="L52" s="409"/>
      <c r="M52" s="61">
        <f>M51*F52</f>
        <v>6547.48106532171</v>
      </c>
    </row>
    <row r="53" spans="1:13" x14ac:dyDescent="0.25">
      <c r="A53" s="62"/>
      <c r="B53" s="401"/>
      <c r="C53" s="401"/>
      <c r="D53" s="401"/>
      <c r="E53" s="402"/>
      <c r="F53" s="402"/>
      <c r="G53" s="402"/>
      <c r="H53" s="402"/>
      <c r="I53" s="402"/>
      <c r="M53" s="63"/>
    </row>
    <row r="54" spans="1:13" x14ac:dyDescent="0.25">
      <c r="B54" s="401"/>
      <c r="C54" s="401"/>
      <c r="D54" s="401"/>
      <c r="E54" s="402"/>
      <c r="F54" s="402"/>
      <c r="G54" s="402"/>
    </row>
  </sheetData>
  <mergeCells count="105">
    <mergeCell ref="A1:M1"/>
    <mergeCell ref="A2:M2"/>
    <mergeCell ref="A3:M3"/>
    <mergeCell ref="A5:D8"/>
    <mergeCell ref="E5:M8"/>
    <mergeCell ref="A9:D10"/>
    <mergeCell ref="E9:M10"/>
    <mergeCell ref="B19:D19"/>
    <mergeCell ref="E19:G19"/>
    <mergeCell ref="H19:L19"/>
    <mergeCell ref="B20:D20"/>
    <mergeCell ref="E20:G20"/>
    <mergeCell ref="H20:I20"/>
    <mergeCell ref="J20:L20"/>
    <mergeCell ref="A11:D12"/>
    <mergeCell ref="E11:M12"/>
    <mergeCell ref="A13:A18"/>
    <mergeCell ref="B13:D18"/>
    <mergeCell ref="E13:G18"/>
    <mergeCell ref="H13:L18"/>
    <mergeCell ref="M13:M18"/>
    <mergeCell ref="E23:G23"/>
    <mergeCell ref="H23:I23"/>
    <mergeCell ref="E24:G24"/>
    <mergeCell ref="E25:G25"/>
    <mergeCell ref="B28:D28"/>
    <mergeCell ref="E28:G28"/>
    <mergeCell ref="H28:I28"/>
    <mergeCell ref="B21:D21"/>
    <mergeCell ref="E21:G21"/>
    <mergeCell ref="H21:I21"/>
    <mergeCell ref="B22:D22"/>
    <mergeCell ref="E22:G22"/>
    <mergeCell ref="H22:I22"/>
    <mergeCell ref="H32:I32"/>
    <mergeCell ref="B33:D33"/>
    <mergeCell ref="H33:I33"/>
    <mergeCell ref="J33:L33"/>
    <mergeCell ref="B34:D34"/>
    <mergeCell ref="H34:I34"/>
    <mergeCell ref="J34:L34"/>
    <mergeCell ref="E29:G29"/>
    <mergeCell ref="H29:I29"/>
    <mergeCell ref="B30:D30"/>
    <mergeCell ref="E30:G30"/>
    <mergeCell ref="H30:I30"/>
    <mergeCell ref="B31:D31"/>
    <mergeCell ref="H31:I31"/>
    <mergeCell ref="J36:L36"/>
    <mergeCell ref="B37:D37"/>
    <mergeCell ref="H37:I37"/>
    <mergeCell ref="B38:D38"/>
    <mergeCell ref="E38:G38"/>
    <mergeCell ref="H38:I38"/>
    <mergeCell ref="K38:L38"/>
    <mergeCell ref="B35:D35"/>
    <mergeCell ref="E35:G35"/>
    <mergeCell ref="H35:I35"/>
    <mergeCell ref="B36:D36"/>
    <mergeCell ref="E36:G36"/>
    <mergeCell ref="H36:I36"/>
    <mergeCell ref="B42:D42"/>
    <mergeCell ref="E42:G42"/>
    <mergeCell ref="H42:I42"/>
    <mergeCell ref="K42:L42"/>
    <mergeCell ref="B43:D43"/>
    <mergeCell ref="H43:I43"/>
    <mergeCell ref="B39:C39"/>
    <mergeCell ref="H39:I39"/>
    <mergeCell ref="B40:D40"/>
    <mergeCell ref="E40:G40"/>
    <mergeCell ref="H40:I40"/>
    <mergeCell ref="B41:D41"/>
    <mergeCell ref="E41:G41"/>
    <mergeCell ref="H41:I41"/>
    <mergeCell ref="K46:L46"/>
    <mergeCell ref="B47:C47"/>
    <mergeCell ref="H47:I47"/>
    <mergeCell ref="B48:D48"/>
    <mergeCell ref="H48:I48"/>
    <mergeCell ref="B49:D49"/>
    <mergeCell ref="E49:G49"/>
    <mergeCell ref="H49:I49"/>
    <mergeCell ref="B44:C44"/>
    <mergeCell ref="H44:I44"/>
    <mergeCell ref="B45:D45"/>
    <mergeCell ref="E45:G45"/>
    <mergeCell ref="H45:I45"/>
    <mergeCell ref="B46:D46"/>
    <mergeCell ref="E46:G46"/>
    <mergeCell ref="H46:I46"/>
    <mergeCell ref="B54:D54"/>
    <mergeCell ref="E54:G54"/>
    <mergeCell ref="B52:D52"/>
    <mergeCell ref="H52:I52"/>
    <mergeCell ref="J52:L52"/>
    <mergeCell ref="B53:D53"/>
    <mergeCell ref="E53:G53"/>
    <mergeCell ref="H53:I53"/>
    <mergeCell ref="B50:D50"/>
    <mergeCell ref="E50:G50"/>
    <mergeCell ref="H50:I50"/>
    <mergeCell ref="B51:D51"/>
    <mergeCell ref="E51:G51"/>
    <mergeCell ref="H51:L51"/>
  </mergeCells>
  <pageMargins left="0.7" right="0.4" top="0.81" bottom="1.1499999999999999" header="0.3" footer="0.3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89"/>
  <sheetViews>
    <sheetView topLeftCell="A67" zoomScaleNormal="100" workbookViewId="0">
      <selection activeCell="O84" sqref="O84"/>
    </sheetView>
  </sheetViews>
  <sheetFormatPr defaultRowHeight="15" x14ac:dyDescent="0.25"/>
  <cols>
    <col min="1" max="1" width="5.28515625" style="17" customWidth="1"/>
    <col min="2" max="3" width="9.28515625" style="17" customWidth="1"/>
    <col min="4" max="4" width="7" style="17" customWidth="1"/>
    <col min="5" max="5" width="2.7109375" style="17" customWidth="1"/>
    <col min="6" max="6" width="6.28515625" style="17" customWidth="1"/>
    <col min="7" max="7" width="12.28515625" style="17" customWidth="1"/>
    <col min="8" max="8" width="4.7109375" style="17" customWidth="1"/>
    <col min="9" max="9" width="5.5703125" style="17" customWidth="1"/>
    <col min="10" max="10" width="4.7109375" style="17" customWidth="1"/>
    <col min="11" max="11" width="5.5703125" style="17" customWidth="1"/>
    <col min="12" max="12" width="7.42578125" style="17" customWidth="1"/>
    <col min="13" max="13" width="12.7109375" style="17" customWidth="1"/>
    <col min="14" max="256" width="9.140625" style="17"/>
    <col min="257" max="257" width="5.28515625" style="17" customWidth="1"/>
    <col min="258" max="259" width="9.28515625" style="17" customWidth="1"/>
    <col min="260" max="260" width="7" style="17" customWidth="1"/>
    <col min="261" max="261" width="2.7109375" style="17" customWidth="1"/>
    <col min="262" max="262" width="6.28515625" style="17" customWidth="1"/>
    <col min="263" max="263" width="12.28515625" style="17" customWidth="1"/>
    <col min="264" max="264" width="4.7109375" style="17" customWidth="1"/>
    <col min="265" max="265" width="5.5703125" style="17" customWidth="1"/>
    <col min="266" max="266" width="4.7109375" style="17" customWidth="1"/>
    <col min="267" max="267" width="5.5703125" style="17" customWidth="1"/>
    <col min="268" max="268" width="7.42578125" style="17" customWidth="1"/>
    <col min="269" max="269" width="12.7109375" style="17" customWidth="1"/>
    <col min="270" max="512" width="9.140625" style="17"/>
    <col min="513" max="513" width="5.28515625" style="17" customWidth="1"/>
    <col min="514" max="515" width="9.28515625" style="17" customWidth="1"/>
    <col min="516" max="516" width="7" style="17" customWidth="1"/>
    <col min="517" max="517" width="2.7109375" style="17" customWidth="1"/>
    <col min="518" max="518" width="6.28515625" style="17" customWidth="1"/>
    <col min="519" max="519" width="12.28515625" style="17" customWidth="1"/>
    <col min="520" max="520" width="4.7109375" style="17" customWidth="1"/>
    <col min="521" max="521" width="5.5703125" style="17" customWidth="1"/>
    <col min="522" max="522" width="4.7109375" style="17" customWidth="1"/>
    <col min="523" max="523" width="5.5703125" style="17" customWidth="1"/>
    <col min="524" max="524" width="7.42578125" style="17" customWidth="1"/>
    <col min="525" max="525" width="12.7109375" style="17" customWidth="1"/>
    <col min="526" max="768" width="9.140625" style="17"/>
    <col min="769" max="769" width="5.28515625" style="17" customWidth="1"/>
    <col min="770" max="771" width="9.28515625" style="17" customWidth="1"/>
    <col min="772" max="772" width="7" style="17" customWidth="1"/>
    <col min="773" max="773" width="2.7109375" style="17" customWidth="1"/>
    <col min="774" max="774" width="6.28515625" style="17" customWidth="1"/>
    <col min="775" max="775" width="12.28515625" style="17" customWidth="1"/>
    <col min="776" max="776" width="4.7109375" style="17" customWidth="1"/>
    <col min="777" max="777" width="5.5703125" style="17" customWidth="1"/>
    <col min="778" max="778" width="4.7109375" style="17" customWidth="1"/>
    <col min="779" max="779" width="5.5703125" style="17" customWidth="1"/>
    <col min="780" max="780" width="7.42578125" style="17" customWidth="1"/>
    <col min="781" max="781" width="12.7109375" style="17" customWidth="1"/>
    <col min="782" max="1024" width="9.140625" style="17"/>
    <col min="1025" max="1025" width="5.28515625" style="17" customWidth="1"/>
    <col min="1026" max="1027" width="9.28515625" style="17" customWidth="1"/>
    <col min="1028" max="1028" width="7" style="17" customWidth="1"/>
    <col min="1029" max="1029" width="2.7109375" style="17" customWidth="1"/>
    <col min="1030" max="1030" width="6.28515625" style="17" customWidth="1"/>
    <col min="1031" max="1031" width="12.28515625" style="17" customWidth="1"/>
    <col min="1032" max="1032" width="4.7109375" style="17" customWidth="1"/>
    <col min="1033" max="1033" width="5.5703125" style="17" customWidth="1"/>
    <col min="1034" max="1034" width="4.7109375" style="17" customWidth="1"/>
    <col min="1035" max="1035" width="5.5703125" style="17" customWidth="1"/>
    <col min="1036" max="1036" width="7.42578125" style="17" customWidth="1"/>
    <col min="1037" max="1037" width="12.7109375" style="17" customWidth="1"/>
    <col min="1038" max="1280" width="9.140625" style="17"/>
    <col min="1281" max="1281" width="5.28515625" style="17" customWidth="1"/>
    <col min="1282" max="1283" width="9.28515625" style="17" customWidth="1"/>
    <col min="1284" max="1284" width="7" style="17" customWidth="1"/>
    <col min="1285" max="1285" width="2.7109375" style="17" customWidth="1"/>
    <col min="1286" max="1286" width="6.28515625" style="17" customWidth="1"/>
    <col min="1287" max="1287" width="12.28515625" style="17" customWidth="1"/>
    <col min="1288" max="1288" width="4.7109375" style="17" customWidth="1"/>
    <col min="1289" max="1289" width="5.5703125" style="17" customWidth="1"/>
    <col min="1290" max="1290" width="4.7109375" style="17" customWidth="1"/>
    <col min="1291" max="1291" width="5.5703125" style="17" customWidth="1"/>
    <col min="1292" max="1292" width="7.42578125" style="17" customWidth="1"/>
    <col min="1293" max="1293" width="12.7109375" style="17" customWidth="1"/>
    <col min="1294" max="1536" width="9.140625" style="17"/>
    <col min="1537" max="1537" width="5.28515625" style="17" customWidth="1"/>
    <col min="1538" max="1539" width="9.28515625" style="17" customWidth="1"/>
    <col min="1540" max="1540" width="7" style="17" customWidth="1"/>
    <col min="1541" max="1541" width="2.7109375" style="17" customWidth="1"/>
    <col min="1542" max="1542" width="6.28515625" style="17" customWidth="1"/>
    <col min="1543" max="1543" width="12.28515625" style="17" customWidth="1"/>
    <col min="1544" max="1544" width="4.7109375" style="17" customWidth="1"/>
    <col min="1545" max="1545" width="5.5703125" style="17" customWidth="1"/>
    <col min="1546" max="1546" width="4.7109375" style="17" customWidth="1"/>
    <col min="1547" max="1547" width="5.5703125" style="17" customWidth="1"/>
    <col min="1548" max="1548" width="7.42578125" style="17" customWidth="1"/>
    <col min="1549" max="1549" width="12.7109375" style="17" customWidth="1"/>
    <col min="1550" max="1792" width="9.140625" style="17"/>
    <col min="1793" max="1793" width="5.28515625" style="17" customWidth="1"/>
    <col min="1794" max="1795" width="9.28515625" style="17" customWidth="1"/>
    <col min="1796" max="1796" width="7" style="17" customWidth="1"/>
    <col min="1797" max="1797" width="2.7109375" style="17" customWidth="1"/>
    <col min="1798" max="1798" width="6.28515625" style="17" customWidth="1"/>
    <col min="1799" max="1799" width="12.28515625" style="17" customWidth="1"/>
    <col min="1800" max="1800" width="4.7109375" style="17" customWidth="1"/>
    <col min="1801" max="1801" width="5.5703125" style="17" customWidth="1"/>
    <col min="1802" max="1802" width="4.7109375" style="17" customWidth="1"/>
    <col min="1803" max="1803" width="5.5703125" style="17" customWidth="1"/>
    <col min="1804" max="1804" width="7.42578125" style="17" customWidth="1"/>
    <col min="1805" max="1805" width="12.7109375" style="17" customWidth="1"/>
    <col min="1806" max="2048" width="9.140625" style="17"/>
    <col min="2049" max="2049" width="5.28515625" style="17" customWidth="1"/>
    <col min="2050" max="2051" width="9.28515625" style="17" customWidth="1"/>
    <col min="2052" max="2052" width="7" style="17" customWidth="1"/>
    <col min="2053" max="2053" width="2.7109375" style="17" customWidth="1"/>
    <col min="2054" max="2054" width="6.28515625" style="17" customWidth="1"/>
    <col min="2055" max="2055" width="12.28515625" style="17" customWidth="1"/>
    <col min="2056" max="2056" width="4.7109375" style="17" customWidth="1"/>
    <col min="2057" max="2057" width="5.5703125" style="17" customWidth="1"/>
    <col min="2058" max="2058" width="4.7109375" style="17" customWidth="1"/>
    <col min="2059" max="2059" width="5.5703125" style="17" customWidth="1"/>
    <col min="2060" max="2060" width="7.42578125" style="17" customWidth="1"/>
    <col min="2061" max="2061" width="12.7109375" style="17" customWidth="1"/>
    <col min="2062" max="2304" width="9.140625" style="17"/>
    <col min="2305" max="2305" width="5.28515625" style="17" customWidth="1"/>
    <col min="2306" max="2307" width="9.28515625" style="17" customWidth="1"/>
    <col min="2308" max="2308" width="7" style="17" customWidth="1"/>
    <col min="2309" max="2309" width="2.7109375" style="17" customWidth="1"/>
    <col min="2310" max="2310" width="6.28515625" style="17" customWidth="1"/>
    <col min="2311" max="2311" width="12.28515625" style="17" customWidth="1"/>
    <col min="2312" max="2312" width="4.7109375" style="17" customWidth="1"/>
    <col min="2313" max="2313" width="5.5703125" style="17" customWidth="1"/>
    <col min="2314" max="2314" width="4.7109375" style="17" customWidth="1"/>
    <col min="2315" max="2315" width="5.5703125" style="17" customWidth="1"/>
    <col min="2316" max="2316" width="7.42578125" style="17" customWidth="1"/>
    <col min="2317" max="2317" width="12.7109375" style="17" customWidth="1"/>
    <col min="2318" max="2560" width="9.140625" style="17"/>
    <col min="2561" max="2561" width="5.28515625" style="17" customWidth="1"/>
    <col min="2562" max="2563" width="9.28515625" style="17" customWidth="1"/>
    <col min="2564" max="2564" width="7" style="17" customWidth="1"/>
    <col min="2565" max="2565" width="2.7109375" style="17" customWidth="1"/>
    <col min="2566" max="2566" width="6.28515625" style="17" customWidth="1"/>
    <col min="2567" max="2567" width="12.28515625" style="17" customWidth="1"/>
    <col min="2568" max="2568" width="4.7109375" style="17" customWidth="1"/>
    <col min="2569" max="2569" width="5.5703125" style="17" customWidth="1"/>
    <col min="2570" max="2570" width="4.7109375" style="17" customWidth="1"/>
    <col min="2571" max="2571" width="5.5703125" style="17" customWidth="1"/>
    <col min="2572" max="2572" width="7.42578125" style="17" customWidth="1"/>
    <col min="2573" max="2573" width="12.7109375" style="17" customWidth="1"/>
    <col min="2574" max="2816" width="9.140625" style="17"/>
    <col min="2817" max="2817" width="5.28515625" style="17" customWidth="1"/>
    <col min="2818" max="2819" width="9.28515625" style="17" customWidth="1"/>
    <col min="2820" max="2820" width="7" style="17" customWidth="1"/>
    <col min="2821" max="2821" width="2.7109375" style="17" customWidth="1"/>
    <col min="2822" max="2822" width="6.28515625" style="17" customWidth="1"/>
    <col min="2823" max="2823" width="12.28515625" style="17" customWidth="1"/>
    <col min="2824" max="2824" width="4.7109375" style="17" customWidth="1"/>
    <col min="2825" max="2825" width="5.5703125" style="17" customWidth="1"/>
    <col min="2826" max="2826" width="4.7109375" style="17" customWidth="1"/>
    <col min="2827" max="2827" width="5.5703125" style="17" customWidth="1"/>
    <col min="2828" max="2828" width="7.42578125" style="17" customWidth="1"/>
    <col min="2829" max="2829" width="12.7109375" style="17" customWidth="1"/>
    <col min="2830" max="3072" width="9.140625" style="17"/>
    <col min="3073" max="3073" width="5.28515625" style="17" customWidth="1"/>
    <col min="3074" max="3075" width="9.28515625" style="17" customWidth="1"/>
    <col min="3076" max="3076" width="7" style="17" customWidth="1"/>
    <col min="3077" max="3077" width="2.7109375" style="17" customWidth="1"/>
    <col min="3078" max="3078" width="6.28515625" style="17" customWidth="1"/>
    <col min="3079" max="3079" width="12.28515625" style="17" customWidth="1"/>
    <col min="3080" max="3080" width="4.7109375" style="17" customWidth="1"/>
    <col min="3081" max="3081" width="5.5703125" style="17" customWidth="1"/>
    <col min="3082" max="3082" width="4.7109375" style="17" customWidth="1"/>
    <col min="3083" max="3083" width="5.5703125" style="17" customWidth="1"/>
    <col min="3084" max="3084" width="7.42578125" style="17" customWidth="1"/>
    <col min="3085" max="3085" width="12.7109375" style="17" customWidth="1"/>
    <col min="3086" max="3328" width="9.140625" style="17"/>
    <col min="3329" max="3329" width="5.28515625" style="17" customWidth="1"/>
    <col min="3330" max="3331" width="9.28515625" style="17" customWidth="1"/>
    <col min="3332" max="3332" width="7" style="17" customWidth="1"/>
    <col min="3333" max="3333" width="2.7109375" style="17" customWidth="1"/>
    <col min="3334" max="3334" width="6.28515625" style="17" customWidth="1"/>
    <col min="3335" max="3335" width="12.28515625" style="17" customWidth="1"/>
    <col min="3336" max="3336" width="4.7109375" style="17" customWidth="1"/>
    <col min="3337" max="3337" width="5.5703125" style="17" customWidth="1"/>
    <col min="3338" max="3338" width="4.7109375" style="17" customWidth="1"/>
    <col min="3339" max="3339" width="5.5703125" style="17" customWidth="1"/>
    <col min="3340" max="3340" width="7.42578125" style="17" customWidth="1"/>
    <col min="3341" max="3341" width="12.7109375" style="17" customWidth="1"/>
    <col min="3342" max="3584" width="9.140625" style="17"/>
    <col min="3585" max="3585" width="5.28515625" style="17" customWidth="1"/>
    <col min="3586" max="3587" width="9.28515625" style="17" customWidth="1"/>
    <col min="3588" max="3588" width="7" style="17" customWidth="1"/>
    <col min="3589" max="3589" width="2.7109375" style="17" customWidth="1"/>
    <col min="3590" max="3590" width="6.28515625" style="17" customWidth="1"/>
    <col min="3591" max="3591" width="12.28515625" style="17" customWidth="1"/>
    <col min="3592" max="3592" width="4.7109375" style="17" customWidth="1"/>
    <col min="3593" max="3593" width="5.5703125" style="17" customWidth="1"/>
    <col min="3594" max="3594" width="4.7109375" style="17" customWidth="1"/>
    <col min="3595" max="3595" width="5.5703125" style="17" customWidth="1"/>
    <col min="3596" max="3596" width="7.42578125" style="17" customWidth="1"/>
    <col min="3597" max="3597" width="12.7109375" style="17" customWidth="1"/>
    <col min="3598" max="3840" width="9.140625" style="17"/>
    <col min="3841" max="3841" width="5.28515625" style="17" customWidth="1"/>
    <col min="3842" max="3843" width="9.28515625" style="17" customWidth="1"/>
    <col min="3844" max="3844" width="7" style="17" customWidth="1"/>
    <col min="3845" max="3845" width="2.7109375" style="17" customWidth="1"/>
    <col min="3846" max="3846" width="6.28515625" style="17" customWidth="1"/>
    <col min="3847" max="3847" width="12.28515625" style="17" customWidth="1"/>
    <col min="3848" max="3848" width="4.7109375" style="17" customWidth="1"/>
    <col min="3849" max="3849" width="5.5703125" style="17" customWidth="1"/>
    <col min="3850" max="3850" width="4.7109375" style="17" customWidth="1"/>
    <col min="3851" max="3851" width="5.5703125" style="17" customWidth="1"/>
    <col min="3852" max="3852" width="7.42578125" style="17" customWidth="1"/>
    <col min="3853" max="3853" width="12.7109375" style="17" customWidth="1"/>
    <col min="3854" max="4096" width="9.140625" style="17"/>
    <col min="4097" max="4097" width="5.28515625" style="17" customWidth="1"/>
    <col min="4098" max="4099" width="9.28515625" style="17" customWidth="1"/>
    <col min="4100" max="4100" width="7" style="17" customWidth="1"/>
    <col min="4101" max="4101" width="2.7109375" style="17" customWidth="1"/>
    <col min="4102" max="4102" width="6.28515625" style="17" customWidth="1"/>
    <col min="4103" max="4103" width="12.28515625" style="17" customWidth="1"/>
    <col min="4104" max="4104" width="4.7109375" style="17" customWidth="1"/>
    <col min="4105" max="4105" width="5.5703125" style="17" customWidth="1"/>
    <col min="4106" max="4106" width="4.7109375" style="17" customWidth="1"/>
    <col min="4107" max="4107" width="5.5703125" style="17" customWidth="1"/>
    <col min="4108" max="4108" width="7.42578125" style="17" customWidth="1"/>
    <col min="4109" max="4109" width="12.7109375" style="17" customWidth="1"/>
    <col min="4110" max="4352" width="9.140625" style="17"/>
    <col min="4353" max="4353" width="5.28515625" style="17" customWidth="1"/>
    <col min="4354" max="4355" width="9.28515625" style="17" customWidth="1"/>
    <col min="4356" max="4356" width="7" style="17" customWidth="1"/>
    <col min="4357" max="4357" width="2.7109375" style="17" customWidth="1"/>
    <col min="4358" max="4358" width="6.28515625" style="17" customWidth="1"/>
    <col min="4359" max="4359" width="12.28515625" style="17" customWidth="1"/>
    <col min="4360" max="4360" width="4.7109375" style="17" customWidth="1"/>
    <col min="4361" max="4361" width="5.5703125" style="17" customWidth="1"/>
    <col min="4362" max="4362" width="4.7109375" style="17" customWidth="1"/>
    <col min="4363" max="4363" width="5.5703125" style="17" customWidth="1"/>
    <col min="4364" max="4364" width="7.42578125" style="17" customWidth="1"/>
    <col min="4365" max="4365" width="12.7109375" style="17" customWidth="1"/>
    <col min="4366" max="4608" width="9.140625" style="17"/>
    <col min="4609" max="4609" width="5.28515625" style="17" customWidth="1"/>
    <col min="4610" max="4611" width="9.28515625" style="17" customWidth="1"/>
    <col min="4612" max="4612" width="7" style="17" customWidth="1"/>
    <col min="4613" max="4613" width="2.7109375" style="17" customWidth="1"/>
    <col min="4614" max="4614" width="6.28515625" style="17" customWidth="1"/>
    <col min="4615" max="4615" width="12.28515625" style="17" customWidth="1"/>
    <col min="4616" max="4616" width="4.7109375" style="17" customWidth="1"/>
    <col min="4617" max="4617" width="5.5703125" style="17" customWidth="1"/>
    <col min="4618" max="4618" width="4.7109375" style="17" customWidth="1"/>
    <col min="4619" max="4619" width="5.5703125" style="17" customWidth="1"/>
    <col min="4620" max="4620" width="7.42578125" style="17" customWidth="1"/>
    <col min="4621" max="4621" width="12.7109375" style="17" customWidth="1"/>
    <col min="4622" max="4864" width="9.140625" style="17"/>
    <col min="4865" max="4865" width="5.28515625" style="17" customWidth="1"/>
    <col min="4866" max="4867" width="9.28515625" style="17" customWidth="1"/>
    <col min="4868" max="4868" width="7" style="17" customWidth="1"/>
    <col min="4869" max="4869" width="2.7109375" style="17" customWidth="1"/>
    <col min="4870" max="4870" width="6.28515625" style="17" customWidth="1"/>
    <col min="4871" max="4871" width="12.28515625" style="17" customWidth="1"/>
    <col min="4872" max="4872" width="4.7109375" style="17" customWidth="1"/>
    <col min="4873" max="4873" width="5.5703125" style="17" customWidth="1"/>
    <col min="4874" max="4874" width="4.7109375" style="17" customWidth="1"/>
    <col min="4875" max="4875" width="5.5703125" style="17" customWidth="1"/>
    <col min="4876" max="4876" width="7.42578125" style="17" customWidth="1"/>
    <col min="4877" max="4877" width="12.7109375" style="17" customWidth="1"/>
    <col min="4878" max="5120" width="9.140625" style="17"/>
    <col min="5121" max="5121" width="5.28515625" style="17" customWidth="1"/>
    <col min="5122" max="5123" width="9.28515625" style="17" customWidth="1"/>
    <col min="5124" max="5124" width="7" style="17" customWidth="1"/>
    <col min="5125" max="5125" width="2.7109375" style="17" customWidth="1"/>
    <col min="5126" max="5126" width="6.28515625" style="17" customWidth="1"/>
    <col min="5127" max="5127" width="12.28515625" style="17" customWidth="1"/>
    <col min="5128" max="5128" width="4.7109375" style="17" customWidth="1"/>
    <col min="5129" max="5129" width="5.5703125" style="17" customWidth="1"/>
    <col min="5130" max="5130" width="4.7109375" style="17" customWidth="1"/>
    <col min="5131" max="5131" width="5.5703125" style="17" customWidth="1"/>
    <col min="5132" max="5132" width="7.42578125" style="17" customWidth="1"/>
    <col min="5133" max="5133" width="12.7109375" style="17" customWidth="1"/>
    <col min="5134" max="5376" width="9.140625" style="17"/>
    <col min="5377" max="5377" width="5.28515625" style="17" customWidth="1"/>
    <col min="5378" max="5379" width="9.28515625" style="17" customWidth="1"/>
    <col min="5380" max="5380" width="7" style="17" customWidth="1"/>
    <col min="5381" max="5381" width="2.7109375" style="17" customWidth="1"/>
    <col min="5382" max="5382" width="6.28515625" style="17" customWidth="1"/>
    <col min="5383" max="5383" width="12.28515625" style="17" customWidth="1"/>
    <col min="5384" max="5384" width="4.7109375" style="17" customWidth="1"/>
    <col min="5385" max="5385" width="5.5703125" style="17" customWidth="1"/>
    <col min="5386" max="5386" width="4.7109375" style="17" customWidth="1"/>
    <col min="5387" max="5387" width="5.5703125" style="17" customWidth="1"/>
    <col min="5388" max="5388" width="7.42578125" style="17" customWidth="1"/>
    <col min="5389" max="5389" width="12.7109375" style="17" customWidth="1"/>
    <col min="5390" max="5632" width="9.140625" style="17"/>
    <col min="5633" max="5633" width="5.28515625" style="17" customWidth="1"/>
    <col min="5634" max="5635" width="9.28515625" style="17" customWidth="1"/>
    <col min="5636" max="5636" width="7" style="17" customWidth="1"/>
    <col min="5637" max="5637" width="2.7109375" style="17" customWidth="1"/>
    <col min="5638" max="5638" width="6.28515625" style="17" customWidth="1"/>
    <col min="5639" max="5639" width="12.28515625" style="17" customWidth="1"/>
    <col min="5640" max="5640" width="4.7109375" style="17" customWidth="1"/>
    <col min="5641" max="5641" width="5.5703125" style="17" customWidth="1"/>
    <col min="5642" max="5642" width="4.7109375" style="17" customWidth="1"/>
    <col min="5643" max="5643" width="5.5703125" style="17" customWidth="1"/>
    <col min="5644" max="5644" width="7.42578125" style="17" customWidth="1"/>
    <col min="5645" max="5645" width="12.7109375" style="17" customWidth="1"/>
    <col min="5646" max="5888" width="9.140625" style="17"/>
    <col min="5889" max="5889" width="5.28515625" style="17" customWidth="1"/>
    <col min="5890" max="5891" width="9.28515625" style="17" customWidth="1"/>
    <col min="5892" max="5892" width="7" style="17" customWidth="1"/>
    <col min="5893" max="5893" width="2.7109375" style="17" customWidth="1"/>
    <col min="5894" max="5894" width="6.28515625" style="17" customWidth="1"/>
    <col min="5895" max="5895" width="12.28515625" style="17" customWidth="1"/>
    <col min="5896" max="5896" width="4.7109375" style="17" customWidth="1"/>
    <col min="5897" max="5897" width="5.5703125" style="17" customWidth="1"/>
    <col min="5898" max="5898" width="4.7109375" style="17" customWidth="1"/>
    <col min="5899" max="5899" width="5.5703125" style="17" customWidth="1"/>
    <col min="5900" max="5900" width="7.42578125" style="17" customWidth="1"/>
    <col min="5901" max="5901" width="12.7109375" style="17" customWidth="1"/>
    <col min="5902" max="6144" width="9.140625" style="17"/>
    <col min="6145" max="6145" width="5.28515625" style="17" customWidth="1"/>
    <col min="6146" max="6147" width="9.28515625" style="17" customWidth="1"/>
    <col min="6148" max="6148" width="7" style="17" customWidth="1"/>
    <col min="6149" max="6149" width="2.7109375" style="17" customWidth="1"/>
    <col min="6150" max="6150" width="6.28515625" style="17" customWidth="1"/>
    <col min="6151" max="6151" width="12.28515625" style="17" customWidth="1"/>
    <col min="6152" max="6152" width="4.7109375" style="17" customWidth="1"/>
    <col min="6153" max="6153" width="5.5703125" style="17" customWidth="1"/>
    <col min="6154" max="6154" width="4.7109375" style="17" customWidth="1"/>
    <col min="6155" max="6155" width="5.5703125" style="17" customWidth="1"/>
    <col min="6156" max="6156" width="7.42578125" style="17" customWidth="1"/>
    <col min="6157" max="6157" width="12.7109375" style="17" customWidth="1"/>
    <col min="6158" max="6400" width="9.140625" style="17"/>
    <col min="6401" max="6401" width="5.28515625" style="17" customWidth="1"/>
    <col min="6402" max="6403" width="9.28515625" style="17" customWidth="1"/>
    <col min="6404" max="6404" width="7" style="17" customWidth="1"/>
    <col min="6405" max="6405" width="2.7109375" style="17" customWidth="1"/>
    <col min="6406" max="6406" width="6.28515625" style="17" customWidth="1"/>
    <col min="6407" max="6407" width="12.28515625" style="17" customWidth="1"/>
    <col min="6408" max="6408" width="4.7109375" style="17" customWidth="1"/>
    <col min="6409" max="6409" width="5.5703125" style="17" customWidth="1"/>
    <col min="6410" max="6410" width="4.7109375" style="17" customWidth="1"/>
    <col min="6411" max="6411" width="5.5703125" style="17" customWidth="1"/>
    <col min="6412" max="6412" width="7.42578125" style="17" customWidth="1"/>
    <col min="6413" max="6413" width="12.7109375" style="17" customWidth="1"/>
    <col min="6414" max="6656" width="9.140625" style="17"/>
    <col min="6657" max="6657" width="5.28515625" style="17" customWidth="1"/>
    <col min="6658" max="6659" width="9.28515625" style="17" customWidth="1"/>
    <col min="6660" max="6660" width="7" style="17" customWidth="1"/>
    <col min="6661" max="6661" width="2.7109375" style="17" customWidth="1"/>
    <col min="6662" max="6662" width="6.28515625" style="17" customWidth="1"/>
    <col min="6663" max="6663" width="12.28515625" style="17" customWidth="1"/>
    <col min="6664" max="6664" width="4.7109375" style="17" customWidth="1"/>
    <col min="6665" max="6665" width="5.5703125" style="17" customWidth="1"/>
    <col min="6666" max="6666" width="4.7109375" style="17" customWidth="1"/>
    <col min="6667" max="6667" width="5.5703125" style="17" customWidth="1"/>
    <col min="6668" max="6668" width="7.42578125" style="17" customWidth="1"/>
    <col min="6669" max="6669" width="12.7109375" style="17" customWidth="1"/>
    <col min="6670" max="6912" width="9.140625" style="17"/>
    <col min="6913" max="6913" width="5.28515625" style="17" customWidth="1"/>
    <col min="6914" max="6915" width="9.28515625" style="17" customWidth="1"/>
    <col min="6916" max="6916" width="7" style="17" customWidth="1"/>
    <col min="6917" max="6917" width="2.7109375" style="17" customWidth="1"/>
    <col min="6918" max="6918" width="6.28515625" style="17" customWidth="1"/>
    <col min="6919" max="6919" width="12.28515625" style="17" customWidth="1"/>
    <col min="6920" max="6920" width="4.7109375" style="17" customWidth="1"/>
    <col min="6921" max="6921" width="5.5703125" style="17" customWidth="1"/>
    <col min="6922" max="6922" width="4.7109375" style="17" customWidth="1"/>
    <col min="6923" max="6923" width="5.5703125" style="17" customWidth="1"/>
    <col min="6924" max="6924" width="7.42578125" style="17" customWidth="1"/>
    <col min="6925" max="6925" width="12.7109375" style="17" customWidth="1"/>
    <col min="6926" max="7168" width="9.140625" style="17"/>
    <col min="7169" max="7169" width="5.28515625" style="17" customWidth="1"/>
    <col min="7170" max="7171" width="9.28515625" style="17" customWidth="1"/>
    <col min="7172" max="7172" width="7" style="17" customWidth="1"/>
    <col min="7173" max="7173" width="2.7109375" style="17" customWidth="1"/>
    <col min="7174" max="7174" width="6.28515625" style="17" customWidth="1"/>
    <col min="7175" max="7175" width="12.28515625" style="17" customWidth="1"/>
    <col min="7176" max="7176" width="4.7109375" style="17" customWidth="1"/>
    <col min="7177" max="7177" width="5.5703125" style="17" customWidth="1"/>
    <col min="7178" max="7178" width="4.7109375" style="17" customWidth="1"/>
    <col min="7179" max="7179" width="5.5703125" style="17" customWidth="1"/>
    <col min="7180" max="7180" width="7.42578125" style="17" customWidth="1"/>
    <col min="7181" max="7181" width="12.7109375" style="17" customWidth="1"/>
    <col min="7182" max="7424" width="9.140625" style="17"/>
    <col min="7425" max="7425" width="5.28515625" style="17" customWidth="1"/>
    <col min="7426" max="7427" width="9.28515625" style="17" customWidth="1"/>
    <col min="7428" max="7428" width="7" style="17" customWidth="1"/>
    <col min="7429" max="7429" width="2.7109375" style="17" customWidth="1"/>
    <col min="7430" max="7430" width="6.28515625" style="17" customWidth="1"/>
    <col min="7431" max="7431" width="12.28515625" style="17" customWidth="1"/>
    <col min="7432" max="7432" width="4.7109375" style="17" customWidth="1"/>
    <col min="7433" max="7433" width="5.5703125" style="17" customWidth="1"/>
    <col min="7434" max="7434" width="4.7109375" style="17" customWidth="1"/>
    <col min="7435" max="7435" width="5.5703125" style="17" customWidth="1"/>
    <col min="7436" max="7436" width="7.42578125" style="17" customWidth="1"/>
    <col min="7437" max="7437" width="12.7109375" style="17" customWidth="1"/>
    <col min="7438" max="7680" width="9.140625" style="17"/>
    <col min="7681" max="7681" width="5.28515625" style="17" customWidth="1"/>
    <col min="7682" max="7683" width="9.28515625" style="17" customWidth="1"/>
    <col min="7684" max="7684" width="7" style="17" customWidth="1"/>
    <col min="7685" max="7685" width="2.7109375" style="17" customWidth="1"/>
    <col min="7686" max="7686" width="6.28515625" style="17" customWidth="1"/>
    <col min="7687" max="7687" width="12.28515625" style="17" customWidth="1"/>
    <col min="7688" max="7688" width="4.7109375" style="17" customWidth="1"/>
    <col min="7689" max="7689" width="5.5703125" style="17" customWidth="1"/>
    <col min="7690" max="7690" width="4.7109375" style="17" customWidth="1"/>
    <col min="7691" max="7691" width="5.5703125" style="17" customWidth="1"/>
    <col min="7692" max="7692" width="7.42578125" style="17" customWidth="1"/>
    <col min="7693" max="7693" width="12.7109375" style="17" customWidth="1"/>
    <col min="7694" max="7936" width="9.140625" style="17"/>
    <col min="7937" max="7937" width="5.28515625" style="17" customWidth="1"/>
    <col min="7938" max="7939" width="9.28515625" style="17" customWidth="1"/>
    <col min="7940" max="7940" width="7" style="17" customWidth="1"/>
    <col min="7941" max="7941" width="2.7109375" style="17" customWidth="1"/>
    <col min="7942" max="7942" width="6.28515625" style="17" customWidth="1"/>
    <col min="7943" max="7943" width="12.28515625" style="17" customWidth="1"/>
    <col min="7944" max="7944" width="4.7109375" style="17" customWidth="1"/>
    <col min="7945" max="7945" width="5.5703125" style="17" customWidth="1"/>
    <col min="7946" max="7946" width="4.7109375" style="17" customWidth="1"/>
    <col min="7947" max="7947" width="5.5703125" style="17" customWidth="1"/>
    <col min="7948" max="7948" width="7.42578125" style="17" customWidth="1"/>
    <col min="7949" max="7949" width="12.7109375" style="17" customWidth="1"/>
    <col min="7950" max="8192" width="9.140625" style="17"/>
    <col min="8193" max="8193" width="5.28515625" style="17" customWidth="1"/>
    <col min="8194" max="8195" width="9.28515625" style="17" customWidth="1"/>
    <col min="8196" max="8196" width="7" style="17" customWidth="1"/>
    <col min="8197" max="8197" width="2.7109375" style="17" customWidth="1"/>
    <col min="8198" max="8198" width="6.28515625" style="17" customWidth="1"/>
    <col min="8199" max="8199" width="12.28515625" style="17" customWidth="1"/>
    <col min="8200" max="8200" width="4.7109375" style="17" customWidth="1"/>
    <col min="8201" max="8201" width="5.5703125" style="17" customWidth="1"/>
    <col min="8202" max="8202" width="4.7109375" style="17" customWidth="1"/>
    <col min="8203" max="8203" width="5.5703125" style="17" customWidth="1"/>
    <col min="8204" max="8204" width="7.42578125" style="17" customWidth="1"/>
    <col min="8205" max="8205" width="12.7109375" style="17" customWidth="1"/>
    <col min="8206" max="8448" width="9.140625" style="17"/>
    <col min="8449" max="8449" width="5.28515625" style="17" customWidth="1"/>
    <col min="8450" max="8451" width="9.28515625" style="17" customWidth="1"/>
    <col min="8452" max="8452" width="7" style="17" customWidth="1"/>
    <col min="8453" max="8453" width="2.7109375" style="17" customWidth="1"/>
    <col min="8454" max="8454" width="6.28515625" style="17" customWidth="1"/>
    <col min="8455" max="8455" width="12.28515625" style="17" customWidth="1"/>
    <col min="8456" max="8456" width="4.7109375" style="17" customWidth="1"/>
    <col min="8457" max="8457" width="5.5703125" style="17" customWidth="1"/>
    <col min="8458" max="8458" width="4.7109375" style="17" customWidth="1"/>
    <col min="8459" max="8459" width="5.5703125" style="17" customWidth="1"/>
    <col min="8460" max="8460" width="7.42578125" style="17" customWidth="1"/>
    <col min="8461" max="8461" width="12.7109375" style="17" customWidth="1"/>
    <col min="8462" max="8704" width="9.140625" style="17"/>
    <col min="8705" max="8705" width="5.28515625" style="17" customWidth="1"/>
    <col min="8706" max="8707" width="9.28515625" style="17" customWidth="1"/>
    <col min="8708" max="8708" width="7" style="17" customWidth="1"/>
    <col min="8709" max="8709" width="2.7109375" style="17" customWidth="1"/>
    <col min="8710" max="8710" width="6.28515625" style="17" customWidth="1"/>
    <col min="8711" max="8711" width="12.28515625" style="17" customWidth="1"/>
    <col min="8712" max="8712" width="4.7109375" style="17" customWidth="1"/>
    <col min="8713" max="8713" width="5.5703125" style="17" customWidth="1"/>
    <col min="8714" max="8714" width="4.7109375" style="17" customWidth="1"/>
    <col min="8715" max="8715" width="5.5703125" style="17" customWidth="1"/>
    <col min="8716" max="8716" width="7.42578125" style="17" customWidth="1"/>
    <col min="8717" max="8717" width="12.7109375" style="17" customWidth="1"/>
    <col min="8718" max="8960" width="9.140625" style="17"/>
    <col min="8961" max="8961" width="5.28515625" style="17" customWidth="1"/>
    <col min="8962" max="8963" width="9.28515625" style="17" customWidth="1"/>
    <col min="8964" max="8964" width="7" style="17" customWidth="1"/>
    <col min="8965" max="8965" width="2.7109375" style="17" customWidth="1"/>
    <col min="8966" max="8966" width="6.28515625" style="17" customWidth="1"/>
    <col min="8967" max="8967" width="12.28515625" style="17" customWidth="1"/>
    <col min="8968" max="8968" width="4.7109375" style="17" customWidth="1"/>
    <col min="8969" max="8969" width="5.5703125" style="17" customWidth="1"/>
    <col min="8970" max="8970" width="4.7109375" style="17" customWidth="1"/>
    <col min="8971" max="8971" width="5.5703125" style="17" customWidth="1"/>
    <col min="8972" max="8972" width="7.42578125" style="17" customWidth="1"/>
    <col min="8973" max="8973" width="12.7109375" style="17" customWidth="1"/>
    <col min="8974" max="9216" width="9.140625" style="17"/>
    <col min="9217" max="9217" width="5.28515625" style="17" customWidth="1"/>
    <col min="9218" max="9219" width="9.28515625" style="17" customWidth="1"/>
    <col min="9220" max="9220" width="7" style="17" customWidth="1"/>
    <col min="9221" max="9221" width="2.7109375" style="17" customWidth="1"/>
    <col min="9222" max="9222" width="6.28515625" style="17" customWidth="1"/>
    <col min="9223" max="9223" width="12.28515625" style="17" customWidth="1"/>
    <col min="9224" max="9224" width="4.7109375" style="17" customWidth="1"/>
    <col min="9225" max="9225" width="5.5703125" style="17" customWidth="1"/>
    <col min="9226" max="9226" width="4.7109375" style="17" customWidth="1"/>
    <col min="9227" max="9227" width="5.5703125" style="17" customWidth="1"/>
    <col min="9228" max="9228" width="7.42578125" style="17" customWidth="1"/>
    <col min="9229" max="9229" width="12.7109375" style="17" customWidth="1"/>
    <col min="9230" max="9472" width="9.140625" style="17"/>
    <col min="9473" max="9473" width="5.28515625" style="17" customWidth="1"/>
    <col min="9474" max="9475" width="9.28515625" style="17" customWidth="1"/>
    <col min="9476" max="9476" width="7" style="17" customWidth="1"/>
    <col min="9477" max="9477" width="2.7109375" style="17" customWidth="1"/>
    <col min="9478" max="9478" width="6.28515625" style="17" customWidth="1"/>
    <col min="9479" max="9479" width="12.28515625" style="17" customWidth="1"/>
    <col min="9480" max="9480" width="4.7109375" style="17" customWidth="1"/>
    <col min="9481" max="9481" width="5.5703125" style="17" customWidth="1"/>
    <col min="9482" max="9482" width="4.7109375" style="17" customWidth="1"/>
    <col min="9483" max="9483" width="5.5703125" style="17" customWidth="1"/>
    <col min="9484" max="9484" width="7.42578125" style="17" customWidth="1"/>
    <col min="9485" max="9485" width="12.7109375" style="17" customWidth="1"/>
    <col min="9486" max="9728" width="9.140625" style="17"/>
    <col min="9729" max="9729" width="5.28515625" style="17" customWidth="1"/>
    <col min="9730" max="9731" width="9.28515625" style="17" customWidth="1"/>
    <col min="9732" max="9732" width="7" style="17" customWidth="1"/>
    <col min="9733" max="9733" width="2.7109375" style="17" customWidth="1"/>
    <col min="9734" max="9734" width="6.28515625" style="17" customWidth="1"/>
    <col min="9735" max="9735" width="12.28515625" style="17" customWidth="1"/>
    <col min="9736" max="9736" width="4.7109375" style="17" customWidth="1"/>
    <col min="9737" max="9737" width="5.5703125" style="17" customWidth="1"/>
    <col min="9738" max="9738" width="4.7109375" style="17" customWidth="1"/>
    <col min="9739" max="9739" width="5.5703125" style="17" customWidth="1"/>
    <col min="9740" max="9740" width="7.42578125" style="17" customWidth="1"/>
    <col min="9741" max="9741" width="12.7109375" style="17" customWidth="1"/>
    <col min="9742" max="9984" width="9.140625" style="17"/>
    <col min="9985" max="9985" width="5.28515625" style="17" customWidth="1"/>
    <col min="9986" max="9987" width="9.28515625" style="17" customWidth="1"/>
    <col min="9988" max="9988" width="7" style="17" customWidth="1"/>
    <col min="9989" max="9989" width="2.7109375" style="17" customWidth="1"/>
    <col min="9990" max="9990" width="6.28515625" style="17" customWidth="1"/>
    <col min="9991" max="9991" width="12.28515625" style="17" customWidth="1"/>
    <col min="9992" max="9992" width="4.7109375" style="17" customWidth="1"/>
    <col min="9993" max="9993" width="5.5703125" style="17" customWidth="1"/>
    <col min="9994" max="9994" width="4.7109375" style="17" customWidth="1"/>
    <col min="9995" max="9995" width="5.5703125" style="17" customWidth="1"/>
    <col min="9996" max="9996" width="7.42578125" style="17" customWidth="1"/>
    <col min="9997" max="9997" width="12.7109375" style="17" customWidth="1"/>
    <col min="9998" max="10240" width="9.140625" style="17"/>
    <col min="10241" max="10241" width="5.28515625" style="17" customWidth="1"/>
    <col min="10242" max="10243" width="9.28515625" style="17" customWidth="1"/>
    <col min="10244" max="10244" width="7" style="17" customWidth="1"/>
    <col min="10245" max="10245" width="2.7109375" style="17" customWidth="1"/>
    <col min="10246" max="10246" width="6.28515625" style="17" customWidth="1"/>
    <col min="10247" max="10247" width="12.28515625" style="17" customWidth="1"/>
    <col min="10248" max="10248" width="4.7109375" style="17" customWidth="1"/>
    <col min="10249" max="10249" width="5.5703125" style="17" customWidth="1"/>
    <col min="10250" max="10250" width="4.7109375" style="17" customWidth="1"/>
    <col min="10251" max="10251" width="5.5703125" style="17" customWidth="1"/>
    <col min="10252" max="10252" width="7.42578125" style="17" customWidth="1"/>
    <col min="10253" max="10253" width="12.7109375" style="17" customWidth="1"/>
    <col min="10254" max="10496" width="9.140625" style="17"/>
    <col min="10497" max="10497" width="5.28515625" style="17" customWidth="1"/>
    <col min="10498" max="10499" width="9.28515625" style="17" customWidth="1"/>
    <col min="10500" max="10500" width="7" style="17" customWidth="1"/>
    <col min="10501" max="10501" width="2.7109375" style="17" customWidth="1"/>
    <col min="10502" max="10502" width="6.28515625" style="17" customWidth="1"/>
    <col min="10503" max="10503" width="12.28515625" style="17" customWidth="1"/>
    <col min="10504" max="10504" width="4.7109375" style="17" customWidth="1"/>
    <col min="10505" max="10505" width="5.5703125" style="17" customWidth="1"/>
    <col min="10506" max="10506" width="4.7109375" style="17" customWidth="1"/>
    <col min="10507" max="10507" width="5.5703125" style="17" customWidth="1"/>
    <col min="10508" max="10508" width="7.42578125" style="17" customWidth="1"/>
    <col min="10509" max="10509" width="12.7109375" style="17" customWidth="1"/>
    <col min="10510" max="10752" width="9.140625" style="17"/>
    <col min="10753" max="10753" width="5.28515625" style="17" customWidth="1"/>
    <col min="10754" max="10755" width="9.28515625" style="17" customWidth="1"/>
    <col min="10756" max="10756" width="7" style="17" customWidth="1"/>
    <col min="10757" max="10757" width="2.7109375" style="17" customWidth="1"/>
    <col min="10758" max="10758" width="6.28515625" style="17" customWidth="1"/>
    <col min="10759" max="10759" width="12.28515625" style="17" customWidth="1"/>
    <col min="10760" max="10760" width="4.7109375" style="17" customWidth="1"/>
    <col min="10761" max="10761" width="5.5703125" style="17" customWidth="1"/>
    <col min="10762" max="10762" width="4.7109375" style="17" customWidth="1"/>
    <col min="10763" max="10763" width="5.5703125" style="17" customWidth="1"/>
    <col min="10764" max="10764" width="7.42578125" style="17" customWidth="1"/>
    <col min="10765" max="10765" width="12.7109375" style="17" customWidth="1"/>
    <col min="10766" max="11008" width="9.140625" style="17"/>
    <col min="11009" max="11009" width="5.28515625" style="17" customWidth="1"/>
    <col min="11010" max="11011" width="9.28515625" style="17" customWidth="1"/>
    <col min="11012" max="11012" width="7" style="17" customWidth="1"/>
    <col min="11013" max="11013" width="2.7109375" style="17" customWidth="1"/>
    <col min="11014" max="11014" width="6.28515625" style="17" customWidth="1"/>
    <col min="11015" max="11015" width="12.28515625" style="17" customWidth="1"/>
    <col min="11016" max="11016" width="4.7109375" style="17" customWidth="1"/>
    <col min="11017" max="11017" width="5.5703125" style="17" customWidth="1"/>
    <col min="11018" max="11018" width="4.7109375" style="17" customWidth="1"/>
    <col min="11019" max="11019" width="5.5703125" style="17" customWidth="1"/>
    <col min="11020" max="11020" width="7.42578125" style="17" customWidth="1"/>
    <col min="11021" max="11021" width="12.7109375" style="17" customWidth="1"/>
    <col min="11022" max="11264" width="9.140625" style="17"/>
    <col min="11265" max="11265" width="5.28515625" style="17" customWidth="1"/>
    <col min="11266" max="11267" width="9.28515625" style="17" customWidth="1"/>
    <col min="11268" max="11268" width="7" style="17" customWidth="1"/>
    <col min="11269" max="11269" width="2.7109375" style="17" customWidth="1"/>
    <col min="11270" max="11270" width="6.28515625" style="17" customWidth="1"/>
    <col min="11271" max="11271" width="12.28515625" style="17" customWidth="1"/>
    <col min="11272" max="11272" width="4.7109375" style="17" customWidth="1"/>
    <col min="11273" max="11273" width="5.5703125" style="17" customWidth="1"/>
    <col min="11274" max="11274" width="4.7109375" style="17" customWidth="1"/>
    <col min="11275" max="11275" width="5.5703125" style="17" customWidth="1"/>
    <col min="11276" max="11276" width="7.42578125" style="17" customWidth="1"/>
    <col min="11277" max="11277" width="12.7109375" style="17" customWidth="1"/>
    <col min="11278" max="11520" width="9.140625" style="17"/>
    <col min="11521" max="11521" width="5.28515625" style="17" customWidth="1"/>
    <col min="11522" max="11523" width="9.28515625" style="17" customWidth="1"/>
    <col min="11524" max="11524" width="7" style="17" customWidth="1"/>
    <col min="11525" max="11525" width="2.7109375" style="17" customWidth="1"/>
    <col min="11526" max="11526" width="6.28515625" style="17" customWidth="1"/>
    <col min="11527" max="11527" width="12.28515625" style="17" customWidth="1"/>
    <col min="11528" max="11528" width="4.7109375" style="17" customWidth="1"/>
    <col min="11529" max="11529" width="5.5703125" style="17" customWidth="1"/>
    <col min="11530" max="11530" width="4.7109375" style="17" customWidth="1"/>
    <col min="11531" max="11531" width="5.5703125" style="17" customWidth="1"/>
    <col min="11532" max="11532" width="7.42578125" style="17" customWidth="1"/>
    <col min="11533" max="11533" width="12.7109375" style="17" customWidth="1"/>
    <col min="11534" max="11776" width="9.140625" style="17"/>
    <col min="11777" max="11777" width="5.28515625" style="17" customWidth="1"/>
    <col min="11778" max="11779" width="9.28515625" style="17" customWidth="1"/>
    <col min="11780" max="11780" width="7" style="17" customWidth="1"/>
    <col min="11781" max="11781" width="2.7109375" style="17" customWidth="1"/>
    <col min="11782" max="11782" width="6.28515625" style="17" customWidth="1"/>
    <col min="11783" max="11783" width="12.28515625" style="17" customWidth="1"/>
    <col min="11784" max="11784" width="4.7109375" style="17" customWidth="1"/>
    <col min="11785" max="11785" width="5.5703125" style="17" customWidth="1"/>
    <col min="11786" max="11786" width="4.7109375" style="17" customWidth="1"/>
    <col min="11787" max="11787" width="5.5703125" style="17" customWidth="1"/>
    <col min="11788" max="11788" width="7.42578125" style="17" customWidth="1"/>
    <col min="11789" max="11789" width="12.7109375" style="17" customWidth="1"/>
    <col min="11790" max="12032" width="9.140625" style="17"/>
    <col min="12033" max="12033" width="5.28515625" style="17" customWidth="1"/>
    <col min="12034" max="12035" width="9.28515625" style="17" customWidth="1"/>
    <col min="12036" max="12036" width="7" style="17" customWidth="1"/>
    <col min="12037" max="12037" width="2.7109375" style="17" customWidth="1"/>
    <col min="12038" max="12038" width="6.28515625" style="17" customWidth="1"/>
    <col min="12039" max="12039" width="12.28515625" style="17" customWidth="1"/>
    <col min="12040" max="12040" width="4.7109375" style="17" customWidth="1"/>
    <col min="12041" max="12041" width="5.5703125" style="17" customWidth="1"/>
    <col min="12042" max="12042" width="4.7109375" style="17" customWidth="1"/>
    <col min="12043" max="12043" width="5.5703125" style="17" customWidth="1"/>
    <col min="12044" max="12044" width="7.42578125" style="17" customWidth="1"/>
    <col min="12045" max="12045" width="12.7109375" style="17" customWidth="1"/>
    <col min="12046" max="12288" width="9.140625" style="17"/>
    <col min="12289" max="12289" width="5.28515625" style="17" customWidth="1"/>
    <col min="12290" max="12291" width="9.28515625" style="17" customWidth="1"/>
    <col min="12292" max="12292" width="7" style="17" customWidth="1"/>
    <col min="12293" max="12293" width="2.7109375" style="17" customWidth="1"/>
    <col min="12294" max="12294" width="6.28515625" style="17" customWidth="1"/>
    <col min="12295" max="12295" width="12.28515625" style="17" customWidth="1"/>
    <col min="12296" max="12296" width="4.7109375" style="17" customWidth="1"/>
    <col min="12297" max="12297" width="5.5703125" style="17" customWidth="1"/>
    <col min="12298" max="12298" width="4.7109375" style="17" customWidth="1"/>
    <col min="12299" max="12299" width="5.5703125" style="17" customWidth="1"/>
    <col min="12300" max="12300" width="7.42578125" style="17" customWidth="1"/>
    <col min="12301" max="12301" width="12.7109375" style="17" customWidth="1"/>
    <col min="12302" max="12544" width="9.140625" style="17"/>
    <col min="12545" max="12545" width="5.28515625" style="17" customWidth="1"/>
    <col min="12546" max="12547" width="9.28515625" style="17" customWidth="1"/>
    <col min="12548" max="12548" width="7" style="17" customWidth="1"/>
    <col min="12549" max="12549" width="2.7109375" style="17" customWidth="1"/>
    <col min="12550" max="12550" width="6.28515625" style="17" customWidth="1"/>
    <col min="12551" max="12551" width="12.28515625" style="17" customWidth="1"/>
    <col min="12552" max="12552" width="4.7109375" style="17" customWidth="1"/>
    <col min="12553" max="12553" width="5.5703125" style="17" customWidth="1"/>
    <col min="12554" max="12554" width="4.7109375" style="17" customWidth="1"/>
    <col min="12555" max="12555" width="5.5703125" style="17" customWidth="1"/>
    <col min="12556" max="12556" width="7.42578125" style="17" customWidth="1"/>
    <col min="12557" max="12557" width="12.7109375" style="17" customWidth="1"/>
    <col min="12558" max="12800" width="9.140625" style="17"/>
    <col min="12801" max="12801" width="5.28515625" style="17" customWidth="1"/>
    <col min="12802" max="12803" width="9.28515625" style="17" customWidth="1"/>
    <col min="12804" max="12804" width="7" style="17" customWidth="1"/>
    <col min="12805" max="12805" width="2.7109375" style="17" customWidth="1"/>
    <col min="12806" max="12806" width="6.28515625" style="17" customWidth="1"/>
    <col min="12807" max="12807" width="12.28515625" style="17" customWidth="1"/>
    <col min="12808" max="12808" width="4.7109375" style="17" customWidth="1"/>
    <col min="12809" max="12809" width="5.5703125" style="17" customWidth="1"/>
    <col min="12810" max="12810" width="4.7109375" style="17" customWidth="1"/>
    <col min="12811" max="12811" width="5.5703125" style="17" customWidth="1"/>
    <col min="12812" max="12812" width="7.42578125" style="17" customWidth="1"/>
    <col min="12813" max="12813" width="12.7109375" style="17" customWidth="1"/>
    <col min="12814" max="13056" width="9.140625" style="17"/>
    <col min="13057" max="13057" width="5.28515625" style="17" customWidth="1"/>
    <col min="13058" max="13059" width="9.28515625" style="17" customWidth="1"/>
    <col min="13060" max="13060" width="7" style="17" customWidth="1"/>
    <col min="13061" max="13061" width="2.7109375" style="17" customWidth="1"/>
    <col min="13062" max="13062" width="6.28515625" style="17" customWidth="1"/>
    <col min="13063" max="13063" width="12.28515625" style="17" customWidth="1"/>
    <col min="13064" max="13064" width="4.7109375" style="17" customWidth="1"/>
    <col min="13065" max="13065" width="5.5703125" style="17" customWidth="1"/>
    <col min="13066" max="13066" width="4.7109375" style="17" customWidth="1"/>
    <col min="13067" max="13067" width="5.5703125" style="17" customWidth="1"/>
    <col min="13068" max="13068" width="7.42578125" style="17" customWidth="1"/>
    <col min="13069" max="13069" width="12.7109375" style="17" customWidth="1"/>
    <col min="13070" max="13312" width="9.140625" style="17"/>
    <col min="13313" max="13313" width="5.28515625" style="17" customWidth="1"/>
    <col min="13314" max="13315" width="9.28515625" style="17" customWidth="1"/>
    <col min="13316" max="13316" width="7" style="17" customWidth="1"/>
    <col min="13317" max="13317" width="2.7109375" style="17" customWidth="1"/>
    <col min="13318" max="13318" width="6.28515625" style="17" customWidth="1"/>
    <col min="13319" max="13319" width="12.28515625" style="17" customWidth="1"/>
    <col min="13320" max="13320" width="4.7109375" style="17" customWidth="1"/>
    <col min="13321" max="13321" width="5.5703125" style="17" customWidth="1"/>
    <col min="13322" max="13322" width="4.7109375" style="17" customWidth="1"/>
    <col min="13323" max="13323" width="5.5703125" style="17" customWidth="1"/>
    <col min="13324" max="13324" width="7.42578125" style="17" customWidth="1"/>
    <col min="13325" max="13325" width="12.7109375" style="17" customWidth="1"/>
    <col min="13326" max="13568" width="9.140625" style="17"/>
    <col min="13569" max="13569" width="5.28515625" style="17" customWidth="1"/>
    <col min="13570" max="13571" width="9.28515625" style="17" customWidth="1"/>
    <col min="13572" max="13572" width="7" style="17" customWidth="1"/>
    <col min="13573" max="13573" width="2.7109375" style="17" customWidth="1"/>
    <col min="13574" max="13574" width="6.28515625" style="17" customWidth="1"/>
    <col min="13575" max="13575" width="12.28515625" style="17" customWidth="1"/>
    <col min="13576" max="13576" width="4.7109375" style="17" customWidth="1"/>
    <col min="13577" max="13577" width="5.5703125" style="17" customWidth="1"/>
    <col min="13578" max="13578" width="4.7109375" style="17" customWidth="1"/>
    <col min="13579" max="13579" width="5.5703125" style="17" customWidth="1"/>
    <col min="13580" max="13580" width="7.42578125" style="17" customWidth="1"/>
    <col min="13581" max="13581" width="12.7109375" style="17" customWidth="1"/>
    <col min="13582" max="13824" width="9.140625" style="17"/>
    <col min="13825" max="13825" width="5.28515625" style="17" customWidth="1"/>
    <col min="13826" max="13827" width="9.28515625" style="17" customWidth="1"/>
    <col min="13828" max="13828" width="7" style="17" customWidth="1"/>
    <col min="13829" max="13829" width="2.7109375" style="17" customWidth="1"/>
    <col min="13830" max="13830" width="6.28515625" style="17" customWidth="1"/>
    <col min="13831" max="13831" width="12.28515625" style="17" customWidth="1"/>
    <col min="13832" max="13832" width="4.7109375" style="17" customWidth="1"/>
    <col min="13833" max="13833" width="5.5703125" style="17" customWidth="1"/>
    <col min="13834" max="13834" width="4.7109375" style="17" customWidth="1"/>
    <col min="13835" max="13835" width="5.5703125" style="17" customWidth="1"/>
    <col min="13836" max="13836" width="7.42578125" style="17" customWidth="1"/>
    <col min="13837" max="13837" width="12.7109375" style="17" customWidth="1"/>
    <col min="13838" max="14080" width="9.140625" style="17"/>
    <col min="14081" max="14081" width="5.28515625" style="17" customWidth="1"/>
    <col min="14082" max="14083" width="9.28515625" style="17" customWidth="1"/>
    <col min="14084" max="14084" width="7" style="17" customWidth="1"/>
    <col min="14085" max="14085" width="2.7109375" style="17" customWidth="1"/>
    <col min="14086" max="14086" width="6.28515625" style="17" customWidth="1"/>
    <col min="14087" max="14087" width="12.28515625" style="17" customWidth="1"/>
    <col min="14088" max="14088" width="4.7109375" style="17" customWidth="1"/>
    <col min="14089" max="14089" width="5.5703125" style="17" customWidth="1"/>
    <col min="14090" max="14090" width="4.7109375" style="17" customWidth="1"/>
    <col min="14091" max="14091" width="5.5703125" style="17" customWidth="1"/>
    <col min="14092" max="14092" width="7.42578125" style="17" customWidth="1"/>
    <col min="14093" max="14093" width="12.7109375" style="17" customWidth="1"/>
    <col min="14094" max="14336" width="9.140625" style="17"/>
    <col min="14337" max="14337" width="5.28515625" style="17" customWidth="1"/>
    <col min="14338" max="14339" width="9.28515625" style="17" customWidth="1"/>
    <col min="14340" max="14340" width="7" style="17" customWidth="1"/>
    <col min="14341" max="14341" width="2.7109375" style="17" customWidth="1"/>
    <col min="14342" max="14342" width="6.28515625" style="17" customWidth="1"/>
    <col min="14343" max="14343" width="12.28515625" style="17" customWidth="1"/>
    <col min="14344" max="14344" width="4.7109375" style="17" customWidth="1"/>
    <col min="14345" max="14345" width="5.5703125" style="17" customWidth="1"/>
    <col min="14346" max="14346" width="4.7109375" style="17" customWidth="1"/>
    <col min="14347" max="14347" width="5.5703125" style="17" customWidth="1"/>
    <col min="14348" max="14348" width="7.42578125" style="17" customWidth="1"/>
    <col min="14349" max="14349" width="12.7109375" style="17" customWidth="1"/>
    <col min="14350" max="14592" width="9.140625" style="17"/>
    <col min="14593" max="14593" width="5.28515625" style="17" customWidth="1"/>
    <col min="14594" max="14595" width="9.28515625" style="17" customWidth="1"/>
    <col min="14596" max="14596" width="7" style="17" customWidth="1"/>
    <col min="14597" max="14597" width="2.7109375" style="17" customWidth="1"/>
    <col min="14598" max="14598" width="6.28515625" style="17" customWidth="1"/>
    <col min="14599" max="14599" width="12.28515625" style="17" customWidth="1"/>
    <col min="14600" max="14600" width="4.7109375" style="17" customWidth="1"/>
    <col min="14601" max="14601" width="5.5703125" style="17" customWidth="1"/>
    <col min="14602" max="14602" width="4.7109375" style="17" customWidth="1"/>
    <col min="14603" max="14603" width="5.5703125" style="17" customWidth="1"/>
    <col min="14604" max="14604" width="7.42578125" style="17" customWidth="1"/>
    <col min="14605" max="14605" width="12.7109375" style="17" customWidth="1"/>
    <col min="14606" max="14848" width="9.140625" style="17"/>
    <col min="14849" max="14849" width="5.28515625" style="17" customWidth="1"/>
    <col min="14850" max="14851" width="9.28515625" style="17" customWidth="1"/>
    <col min="14852" max="14852" width="7" style="17" customWidth="1"/>
    <col min="14853" max="14853" width="2.7109375" style="17" customWidth="1"/>
    <col min="14854" max="14854" width="6.28515625" style="17" customWidth="1"/>
    <col min="14855" max="14855" width="12.28515625" style="17" customWidth="1"/>
    <col min="14856" max="14856" width="4.7109375" style="17" customWidth="1"/>
    <col min="14857" max="14857" width="5.5703125" style="17" customWidth="1"/>
    <col min="14858" max="14858" width="4.7109375" style="17" customWidth="1"/>
    <col min="14859" max="14859" width="5.5703125" style="17" customWidth="1"/>
    <col min="14860" max="14860" width="7.42578125" style="17" customWidth="1"/>
    <col min="14861" max="14861" width="12.7109375" style="17" customWidth="1"/>
    <col min="14862" max="15104" width="9.140625" style="17"/>
    <col min="15105" max="15105" width="5.28515625" style="17" customWidth="1"/>
    <col min="15106" max="15107" width="9.28515625" style="17" customWidth="1"/>
    <col min="15108" max="15108" width="7" style="17" customWidth="1"/>
    <col min="15109" max="15109" width="2.7109375" style="17" customWidth="1"/>
    <col min="15110" max="15110" width="6.28515625" style="17" customWidth="1"/>
    <col min="15111" max="15111" width="12.28515625" style="17" customWidth="1"/>
    <col min="15112" max="15112" width="4.7109375" style="17" customWidth="1"/>
    <col min="15113" max="15113" width="5.5703125" style="17" customWidth="1"/>
    <col min="15114" max="15114" width="4.7109375" style="17" customWidth="1"/>
    <col min="15115" max="15115" width="5.5703125" style="17" customWidth="1"/>
    <col min="15116" max="15116" width="7.42578125" style="17" customWidth="1"/>
    <col min="15117" max="15117" width="12.7109375" style="17" customWidth="1"/>
    <col min="15118" max="15360" width="9.140625" style="17"/>
    <col min="15361" max="15361" width="5.28515625" style="17" customWidth="1"/>
    <col min="15362" max="15363" width="9.28515625" style="17" customWidth="1"/>
    <col min="15364" max="15364" width="7" style="17" customWidth="1"/>
    <col min="15365" max="15365" width="2.7109375" style="17" customWidth="1"/>
    <col min="15366" max="15366" width="6.28515625" style="17" customWidth="1"/>
    <col min="15367" max="15367" width="12.28515625" style="17" customWidth="1"/>
    <col min="15368" max="15368" width="4.7109375" style="17" customWidth="1"/>
    <col min="15369" max="15369" width="5.5703125" style="17" customWidth="1"/>
    <col min="15370" max="15370" width="4.7109375" style="17" customWidth="1"/>
    <col min="15371" max="15371" width="5.5703125" style="17" customWidth="1"/>
    <col min="15372" max="15372" width="7.42578125" style="17" customWidth="1"/>
    <col min="15373" max="15373" width="12.7109375" style="17" customWidth="1"/>
    <col min="15374" max="15616" width="9.140625" style="17"/>
    <col min="15617" max="15617" width="5.28515625" style="17" customWidth="1"/>
    <col min="15618" max="15619" width="9.28515625" style="17" customWidth="1"/>
    <col min="15620" max="15620" width="7" style="17" customWidth="1"/>
    <col min="15621" max="15621" width="2.7109375" style="17" customWidth="1"/>
    <col min="15622" max="15622" width="6.28515625" style="17" customWidth="1"/>
    <col min="15623" max="15623" width="12.28515625" style="17" customWidth="1"/>
    <col min="15624" max="15624" width="4.7109375" style="17" customWidth="1"/>
    <col min="15625" max="15625" width="5.5703125" style="17" customWidth="1"/>
    <col min="15626" max="15626" width="4.7109375" style="17" customWidth="1"/>
    <col min="15627" max="15627" width="5.5703125" style="17" customWidth="1"/>
    <col min="15628" max="15628" width="7.42578125" style="17" customWidth="1"/>
    <col min="15629" max="15629" width="12.7109375" style="17" customWidth="1"/>
    <col min="15630" max="15872" width="9.140625" style="17"/>
    <col min="15873" max="15873" width="5.28515625" style="17" customWidth="1"/>
    <col min="15874" max="15875" width="9.28515625" style="17" customWidth="1"/>
    <col min="15876" max="15876" width="7" style="17" customWidth="1"/>
    <col min="15877" max="15877" width="2.7109375" style="17" customWidth="1"/>
    <col min="15878" max="15878" width="6.28515625" style="17" customWidth="1"/>
    <col min="15879" max="15879" width="12.28515625" style="17" customWidth="1"/>
    <col min="15880" max="15880" width="4.7109375" style="17" customWidth="1"/>
    <col min="15881" max="15881" width="5.5703125" style="17" customWidth="1"/>
    <col min="15882" max="15882" width="4.7109375" style="17" customWidth="1"/>
    <col min="15883" max="15883" width="5.5703125" style="17" customWidth="1"/>
    <col min="15884" max="15884" width="7.42578125" style="17" customWidth="1"/>
    <col min="15885" max="15885" width="12.7109375" style="17" customWidth="1"/>
    <col min="15886" max="16128" width="9.140625" style="17"/>
    <col min="16129" max="16129" width="5.28515625" style="17" customWidth="1"/>
    <col min="16130" max="16131" width="9.28515625" style="17" customWidth="1"/>
    <col min="16132" max="16132" width="7" style="17" customWidth="1"/>
    <col min="16133" max="16133" width="2.7109375" style="17" customWidth="1"/>
    <col min="16134" max="16134" width="6.28515625" style="17" customWidth="1"/>
    <col min="16135" max="16135" width="12.28515625" style="17" customWidth="1"/>
    <col min="16136" max="16136" width="4.7109375" style="17" customWidth="1"/>
    <col min="16137" max="16137" width="5.5703125" style="17" customWidth="1"/>
    <col min="16138" max="16138" width="4.7109375" style="17" customWidth="1"/>
    <col min="16139" max="16139" width="5.5703125" style="17" customWidth="1"/>
    <col min="16140" max="16140" width="7.42578125" style="17" customWidth="1"/>
    <col min="16141" max="16141" width="12.7109375" style="17" customWidth="1"/>
    <col min="16142" max="16384" width="9.140625" style="17"/>
  </cols>
  <sheetData>
    <row r="1" spans="1:13" ht="18.75" x14ac:dyDescent="0.3">
      <c r="A1" s="479" t="s">
        <v>140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</row>
    <row r="2" spans="1:13" x14ac:dyDescent="0.25">
      <c r="A2" s="401" t="s">
        <v>63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</row>
    <row r="3" spans="1:13" x14ac:dyDescent="0.25">
      <c r="A3" s="401" t="s">
        <v>141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</row>
    <row r="4" spans="1:13" ht="9.75" customHeight="1" x14ac:dyDescent="0.25"/>
    <row r="5" spans="1:13" ht="14.45" customHeight="1" x14ac:dyDescent="0.25">
      <c r="A5" s="458" t="s">
        <v>65</v>
      </c>
      <c r="B5" s="458"/>
      <c r="C5" s="458"/>
      <c r="D5" s="458"/>
      <c r="E5" s="480" t="s">
        <v>66</v>
      </c>
      <c r="F5" s="480"/>
      <c r="G5" s="480"/>
      <c r="H5" s="480"/>
      <c r="I5" s="480"/>
      <c r="J5" s="480"/>
      <c r="K5" s="480"/>
      <c r="L5" s="480"/>
      <c r="M5" s="480"/>
    </row>
    <row r="6" spans="1:13" ht="14.45" customHeight="1" x14ac:dyDescent="0.25">
      <c r="A6" s="458"/>
      <c r="B6" s="458"/>
      <c r="C6" s="458"/>
      <c r="D6" s="458"/>
      <c r="E6" s="480"/>
      <c r="F6" s="480"/>
      <c r="G6" s="480"/>
      <c r="H6" s="480"/>
      <c r="I6" s="480"/>
      <c r="J6" s="480"/>
      <c r="K6" s="480"/>
      <c r="L6" s="480"/>
      <c r="M6" s="480"/>
    </row>
    <row r="7" spans="1:13" ht="14.45" customHeight="1" x14ac:dyDescent="0.25">
      <c r="A7" s="458"/>
      <c r="B7" s="458"/>
      <c r="C7" s="458"/>
      <c r="D7" s="458"/>
      <c r="E7" s="480"/>
      <c r="F7" s="480"/>
      <c r="G7" s="480"/>
      <c r="H7" s="480"/>
      <c r="I7" s="480"/>
      <c r="J7" s="480"/>
      <c r="K7" s="480"/>
      <c r="L7" s="480"/>
      <c r="M7" s="480"/>
    </row>
    <row r="8" spans="1:13" ht="76.5" customHeight="1" x14ac:dyDescent="0.25">
      <c r="A8" s="458"/>
      <c r="B8" s="458"/>
      <c r="C8" s="458"/>
      <c r="D8" s="458"/>
      <c r="E8" s="480"/>
      <c r="F8" s="480"/>
      <c r="G8" s="480"/>
      <c r="H8" s="480"/>
      <c r="I8" s="480"/>
      <c r="J8" s="480"/>
      <c r="K8" s="480"/>
      <c r="L8" s="480"/>
      <c r="M8" s="480"/>
    </row>
    <row r="9" spans="1:13" ht="14.45" customHeight="1" x14ac:dyDescent="0.25">
      <c r="A9" s="458" t="s">
        <v>67</v>
      </c>
      <c r="B9" s="458"/>
      <c r="C9" s="458"/>
      <c r="D9" s="458"/>
      <c r="E9" s="481" t="s">
        <v>68</v>
      </c>
      <c r="F9" s="481"/>
      <c r="G9" s="481"/>
      <c r="H9" s="481"/>
      <c r="I9" s="481"/>
      <c r="J9" s="481"/>
      <c r="K9" s="481"/>
      <c r="L9" s="481"/>
      <c r="M9" s="481"/>
    </row>
    <row r="10" spans="1:13" ht="14.45" customHeight="1" x14ac:dyDescent="0.25">
      <c r="A10" s="458"/>
      <c r="B10" s="458"/>
      <c r="C10" s="458"/>
      <c r="D10" s="458"/>
      <c r="E10" s="481"/>
      <c r="F10" s="481"/>
      <c r="G10" s="481"/>
      <c r="H10" s="481"/>
      <c r="I10" s="481"/>
      <c r="J10" s="481"/>
      <c r="K10" s="481"/>
      <c r="L10" s="481"/>
      <c r="M10" s="481"/>
    </row>
    <row r="11" spans="1:13" ht="14.45" customHeight="1" x14ac:dyDescent="0.25">
      <c r="A11" s="458" t="s">
        <v>69</v>
      </c>
      <c r="B11" s="458"/>
      <c r="C11" s="458"/>
      <c r="D11" s="458"/>
      <c r="E11" s="459" t="s">
        <v>70</v>
      </c>
      <c r="F11" s="459"/>
      <c r="G11" s="459"/>
      <c r="H11" s="459"/>
      <c r="I11" s="459"/>
      <c r="J11" s="459"/>
      <c r="K11" s="459"/>
      <c r="L11" s="459"/>
      <c r="M11" s="459"/>
    </row>
    <row r="12" spans="1:13" ht="15" customHeight="1" thickBot="1" x14ac:dyDescent="0.3">
      <c r="A12" s="458"/>
      <c r="B12" s="458"/>
      <c r="C12" s="458"/>
      <c r="D12" s="458"/>
      <c r="E12" s="460"/>
      <c r="F12" s="460"/>
      <c r="G12" s="460"/>
      <c r="H12" s="460"/>
      <c r="I12" s="460"/>
      <c r="J12" s="460"/>
      <c r="K12" s="460"/>
      <c r="L12" s="460"/>
      <c r="M12" s="460"/>
    </row>
    <row r="13" spans="1:13" x14ac:dyDescent="0.25">
      <c r="A13" s="461" t="s">
        <v>71</v>
      </c>
      <c r="B13" s="525" t="s">
        <v>72</v>
      </c>
      <c r="C13" s="465"/>
      <c r="D13" s="473"/>
      <c r="E13" s="464" t="s">
        <v>73</v>
      </c>
      <c r="F13" s="465"/>
      <c r="G13" s="466"/>
      <c r="H13" s="525" t="s">
        <v>74</v>
      </c>
      <c r="I13" s="465"/>
      <c r="J13" s="465"/>
      <c r="K13" s="473"/>
      <c r="L13" s="473"/>
      <c r="M13" s="476" t="s">
        <v>75</v>
      </c>
    </row>
    <row r="14" spans="1:13" x14ac:dyDescent="0.25">
      <c r="A14" s="462"/>
      <c r="B14" s="526"/>
      <c r="C14" s="468"/>
      <c r="D14" s="474"/>
      <c r="E14" s="467"/>
      <c r="F14" s="468"/>
      <c r="G14" s="469"/>
      <c r="H14" s="526"/>
      <c r="I14" s="468"/>
      <c r="J14" s="468"/>
      <c r="K14" s="474"/>
      <c r="L14" s="474"/>
      <c r="M14" s="477"/>
    </row>
    <row r="15" spans="1:13" x14ac:dyDescent="0.25">
      <c r="A15" s="462"/>
      <c r="B15" s="526"/>
      <c r="C15" s="468"/>
      <c r="D15" s="474"/>
      <c r="E15" s="467"/>
      <c r="F15" s="468"/>
      <c r="G15" s="469"/>
      <c r="H15" s="526"/>
      <c r="I15" s="468"/>
      <c r="J15" s="468"/>
      <c r="K15" s="474"/>
      <c r="L15" s="474"/>
      <c r="M15" s="477"/>
    </row>
    <row r="16" spans="1:13" x14ac:dyDescent="0.25">
      <c r="A16" s="462"/>
      <c r="B16" s="526"/>
      <c r="C16" s="468"/>
      <c r="D16" s="474"/>
      <c r="E16" s="467"/>
      <c r="F16" s="468"/>
      <c r="G16" s="469"/>
      <c r="H16" s="526"/>
      <c r="I16" s="468"/>
      <c r="J16" s="468"/>
      <c r="K16" s="474"/>
      <c r="L16" s="474"/>
      <c r="M16" s="477"/>
    </row>
    <row r="17" spans="1:15" x14ac:dyDescent="0.25">
      <c r="A17" s="462"/>
      <c r="B17" s="526"/>
      <c r="C17" s="468"/>
      <c r="D17" s="474"/>
      <c r="E17" s="467"/>
      <c r="F17" s="468"/>
      <c r="G17" s="469"/>
      <c r="H17" s="526"/>
      <c r="I17" s="468"/>
      <c r="J17" s="468"/>
      <c r="K17" s="474"/>
      <c r="L17" s="474"/>
      <c r="M17" s="477"/>
    </row>
    <row r="18" spans="1:15" ht="23.45" customHeight="1" thickBot="1" x14ac:dyDescent="0.3">
      <c r="A18" s="463"/>
      <c r="B18" s="527"/>
      <c r="C18" s="471"/>
      <c r="D18" s="475"/>
      <c r="E18" s="470"/>
      <c r="F18" s="471"/>
      <c r="G18" s="472"/>
      <c r="H18" s="527"/>
      <c r="I18" s="471"/>
      <c r="J18" s="471"/>
      <c r="K18" s="475"/>
      <c r="L18" s="475"/>
      <c r="M18" s="478"/>
      <c r="N18" s="17" t="s">
        <v>142</v>
      </c>
      <c r="O18" s="17">
        <v>1</v>
      </c>
    </row>
    <row r="19" spans="1:15" ht="15.75" thickBot="1" x14ac:dyDescent="0.3">
      <c r="A19" s="18">
        <v>1</v>
      </c>
      <c r="B19" s="518">
        <v>2</v>
      </c>
      <c r="C19" s="483"/>
      <c r="D19" s="485"/>
      <c r="E19" s="482">
        <v>3</v>
      </c>
      <c r="F19" s="483"/>
      <c r="G19" s="484"/>
      <c r="H19" s="518">
        <v>4</v>
      </c>
      <c r="I19" s="483"/>
      <c r="J19" s="483"/>
      <c r="K19" s="485"/>
      <c r="L19" s="485"/>
      <c r="M19" s="18">
        <v>5</v>
      </c>
      <c r="N19" s="17" t="s">
        <v>143</v>
      </c>
      <c r="O19" s="17">
        <v>2</v>
      </c>
    </row>
    <row r="20" spans="1:15" ht="16.149999999999999" customHeight="1" x14ac:dyDescent="0.25">
      <c r="A20" s="65"/>
      <c r="B20" s="519" t="s">
        <v>144</v>
      </c>
      <c r="C20" s="519"/>
      <c r="D20" s="519"/>
      <c r="E20" s="520" t="s">
        <v>24</v>
      </c>
      <c r="F20" s="521"/>
      <c r="G20" s="522"/>
      <c r="H20" s="523"/>
      <c r="I20" s="524"/>
      <c r="J20" s="66"/>
      <c r="K20" s="66"/>
      <c r="L20" s="66"/>
      <c r="M20" s="67"/>
    </row>
    <row r="21" spans="1:15" x14ac:dyDescent="0.25">
      <c r="A21" s="68" t="s">
        <v>76</v>
      </c>
      <c r="B21" s="517" t="s">
        <v>145</v>
      </c>
      <c r="C21" s="517"/>
      <c r="D21" s="517"/>
      <c r="E21" s="428" t="s">
        <v>146</v>
      </c>
      <c r="F21" s="429"/>
      <c r="G21" s="425"/>
      <c r="H21" s="431">
        <v>46.2</v>
      </c>
      <c r="I21" s="431"/>
      <c r="J21" s="47" t="s">
        <v>112</v>
      </c>
      <c r="K21" s="69">
        <f>D25</f>
        <v>16</v>
      </c>
      <c r="L21" s="33"/>
      <c r="M21" s="70">
        <f>H21*D25</f>
        <v>739.2</v>
      </c>
    </row>
    <row r="22" spans="1:15" x14ac:dyDescent="0.25">
      <c r="A22" s="71"/>
      <c r="B22" s="411" t="s">
        <v>147</v>
      </c>
      <c r="C22" s="411"/>
      <c r="D22" s="411"/>
      <c r="E22" s="410" t="s">
        <v>148</v>
      </c>
      <c r="F22" s="411"/>
      <c r="G22" s="412"/>
      <c r="H22" s="427"/>
      <c r="I22" s="427"/>
      <c r="J22" s="22"/>
      <c r="K22" s="22"/>
      <c r="L22" s="22"/>
      <c r="M22" s="72"/>
    </row>
    <row r="23" spans="1:15" x14ac:dyDescent="0.25">
      <c r="A23" s="71"/>
      <c r="B23" s="411" t="s">
        <v>149</v>
      </c>
      <c r="C23" s="411"/>
      <c r="D23" s="411"/>
      <c r="E23" s="410" t="s">
        <v>150</v>
      </c>
      <c r="F23" s="411"/>
      <c r="G23" s="412"/>
      <c r="H23" s="427"/>
      <c r="I23" s="427"/>
      <c r="J23" s="22"/>
      <c r="K23" s="22"/>
      <c r="L23" s="22"/>
      <c r="M23" s="72"/>
    </row>
    <row r="24" spans="1:15" x14ac:dyDescent="0.25">
      <c r="A24" s="71"/>
      <c r="B24" s="411" t="s">
        <v>151</v>
      </c>
      <c r="C24" s="411"/>
      <c r="D24" s="411"/>
      <c r="E24" s="410"/>
      <c r="F24" s="411"/>
      <c r="G24" s="412"/>
      <c r="H24" s="73"/>
      <c r="I24" s="73"/>
      <c r="J24" s="22"/>
      <c r="K24" s="22"/>
      <c r="L24" s="22"/>
      <c r="M24" s="72"/>
    </row>
    <row r="25" spans="1:15" x14ac:dyDescent="0.25">
      <c r="A25" s="71"/>
      <c r="B25" s="30" t="s">
        <v>152</v>
      </c>
      <c r="C25" s="73" t="s">
        <v>153</v>
      </c>
      <c r="D25" s="30">
        <f>O18*10+O19*3</f>
        <v>16</v>
      </c>
      <c r="E25" s="74"/>
      <c r="F25" s="30"/>
      <c r="G25" s="31"/>
      <c r="H25" s="73"/>
      <c r="I25" s="73"/>
      <c r="J25" s="22"/>
      <c r="K25" s="22"/>
      <c r="L25" s="22"/>
      <c r="M25" s="72"/>
    </row>
    <row r="26" spans="1:15" x14ac:dyDescent="0.25">
      <c r="A26" s="75" t="s">
        <v>92</v>
      </c>
      <c r="B26" s="517" t="s">
        <v>154</v>
      </c>
      <c r="C26" s="517"/>
      <c r="D26" s="517"/>
      <c r="E26" s="428" t="s">
        <v>155</v>
      </c>
      <c r="F26" s="429"/>
      <c r="G26" s="425"/>
      <c r="H26" s="431">
        <v>1203</v>
      </c>
      <c r="I26" s="431"/>
      <c r="J26" s="76" t="s">
        <v>112</v>
      </c>
      <c r="K26" s="69">
        <f>D30</f>
        <v>1</v>
      </c>
      <c r="L26" s="77"/>
      <c r="M26" s="70">
        <f>H26*D30</f>
        <v>1203</v>
      </c>
    </row>
    <row r="27" spans="1:15" x14ac:dyDescent="0.25">
      <c r="A27" s="78"/>
      <c r="B27" s="411" t="s">
        <v>156</v>
      </c>
      <c r="C27" s="411"/>
      <c r="D27" s="411"/>
      <c r="E27" s="79"/>
      <c r="F27" s="64"/>
      <c r="G27" s="80"/>
      <c r="H27" s="73"/>
      <c r="I27" s="73"/>
      <c r="J27" s="22"/>
      <c r="K27" s="22"/>
      <c r="L27" s="22"/>
      <c r="M27" s="72"/>
    </row>
    <row r="28" spans="1:15" x14ac:dyDescent="0.25">
      <c r="A28" s="78"/>
      <c r="B28" s="411" t="s">
        <v>157</v>
      </c>
      <c r="C28" s="411"/>
      <c r="D28" s="411"/>
      <c r="E28" s="79"/>
      <c r="F28" s="64"/>
      <c r="G28" s="80"/>
      <c r="H28" s="73"/>
      <c r="I28" s="73"/>
      <c r="J28" s="22"/>
      <c r="K28" s="22"/>
      <c r="L28" s="22"/>
      <c r="M28" s="72"/>
    </row>
    <row r="29" spans="1:15" x14ac:dyDescent="0.25">
      <c r="A29" s="78"/>
      <c r="B29" s="411" t="s">
        <v>158</v>
      </c>
      <c r="C29" s="411"/>
      <c r="D29" s="30">
        <v>3</v>
      </c>
      <c r="E29" s="410"/>
      <c r="F29" s="411"/>
      <c r="G29" s="412"/>
      <c r="H29" s="427"/>
      <c r="I29" s="427"/>
      <c r="J29" s="22"/>
      <c r="K29" s="22"/>
      <c r="L29" s="22"/>
      <c r="M29" s="72"/>
    </row>
    <row r="30" spans="1:15" x14ac:dyDescent="0.25">
      <c r="A30" s="78"/>
      <c r="B30" s="81"/>
      <c r="C30" s="81"/>
      <c r="D30" s="30">
        <f>O18</f>
        <v>1</v>
      </c>
      <c r="E30" s="415"/>
      <c r="F30" s="413"/>
      <c r="G30" s="414"/>
      <c r="H30" s="73"/>
      <c r="I30" s="73"/>
      <c r="J30" s="22"/>
      <c r="K30" s="22"/>
      <c r="L30" s="22"/>
      <c r="M30" s="72"/>
    </row>
    <row r="31" spans="1:15" x14ac:dyDescent="0.25">
      <c r="A31" s="68" t="s">
        <v>100</v>
      </c>
      <c r="B31" s="517" t="s">
        <v>159</v>
      </c>
      <c r="C31" s="517"/>
      <c r="D31" s="517"/>
      <c r="E31" s="428" t="s">
        <v>160</v>
      </c>
      <c r="F31" s="429"/>
      <c r="G31" s="425"/>
      <c r="H31" s="431"/>
      <c r="I31" s="431"/>
      <c r="J31" s="39"/>
      <c r="K31" s="39"/>
      <c r="L31" s="39"/>
      <c r="M31" s="70"/>
    </row>
    <row r="32" spans="1:15" x14ac:dyDescent="0.25">
      <c r="A32" s="71"/>
      <c r="B32" s="411" t="s">
        <v>161</v>
      </c>
      <c r="C32" s="411"/>
      <c r="D32" s="30">
        <v>3</v>
      </c>
      <c r="E32" s="410" t="s">
        <v>162</v>
      </c>
      <c r="F32" s="411"/>
      <c r="G32" s="80"/>
      <c r="H32" s="427">
        <v>22.9</v>
      </c>
      <c r="I32" s="427"/>
      <c r="J32" s="82" t="s">
        <v>112</v>
      </c>
      <c r="K32" s="30">
        <f>D32</f>
        <v>3</v>
      </c>
      <c r="L32" s="83"/>
      <c r="M32" s="72">
        <f>H32*K32</f>
        <v>68.699999999999989</v>
      </c>
    </row>
    <row r="33" spans="1:13" x14ac:dyDescent="0.25">
      <c r="A33" s="71"/>
      <c r="B33" s="411" t="s">
        <v>163</v>
      </c>
      <c r="C33" s="411"/>
      <c r="D33" s="30">
        <v>2</v>
      </c>
      <c r="E33" s="410" t="s">
        <v>162</v>
      </c>
      <c r="F33" s="411"/>
      <c r="G33" s="80"/>
      <c r="H33" s="516">
        <v>28.2</v>
      </c>
      <c r="I33" s="516"/>
      <c r="J33" s="84" t="s">
        <v>164</v>
      </c>
      <c r="K33" s="43">
        <f>D33</f>
        <v>2</v>
      </c>
      <c r="L33" s="85"/>
      <c r="M33" s="72">
        <f>H33*K33</f>
        <v>56.4</v>
      </c>
    </row>
    <row r="34" spans="1:13" x14ac:dyDescent="0.25">
      <c r="A34" s="86"/>
      <c r="B34" s="417" t="s">
        <v>165</v>
      </c>
      <c r="C34" s="417"/>
      <c r="D34" s="417"/>
      <c r="E34" s="501"/>
      <c r="F34" s="419"/>
      <c r="G34" s="420"/>
      <c r="H34" s="419"/>
      <c r="I34" s="419"/>
      <c r="J34" s="87"/>
      <c r="K34" s="88"/>
      <c r="L34" s="87"/>
      <c r="M34" s="89">
        <f>M21+M26+M32+M33</f>
        <v>2067.3000000000002</v>
      </c>
    </row>
    <row r="35" spans="1:13" x14ac:dyDescent="0.25">
      <c r="A35" s="68" t="s">
        <v>113</v>
      </c>
      <c r="B35" s="428" t="s">
        <v>114</v>
      </c>
      <c r="C35" s="429"/>
      <c r="D35" s="425"/>
      <c r="E35" s="429" t="s">
        <v>115</v>
      </c>
      <c r="F35" s="429"/>
      <c r="G35" s="425"/>
      <c r="H35" s="499">
        <f>M34</f>
        <v>2067.3000000000002</v>
      </c>
      <c r="I35" s="500"/>
      <c r="J35" s="76" t="s">
        <v>112</v>
      </c>
      <c r="K35" s="90">
        <f>F36</f>
        <v>0.13750000000000001</v>
      </c>
      <c r="L35" s="77"/>
      <c r="M35" s="70">
        <f>M34*F36</f>
        <v>284.25375000000003</v>
      </c>
    </row>
    <row r="36" spans="1:13" x14ac:dyDescent="0.25">
      <c r="A36" s="71"/>
      <c r="B36" s="410" t="s">
        <v>116</v>
      </c>
      <c r="C36" s="411"/>
      <c r="D36" s="45">
        <v>0.13750000000000001</v>
      </c>
      <c r="E36" s="41" t="s">
        <v>103</v>
      </c>
      <c r="F36" s="46">
        <f>D36</f>
        <v>0.13750000000000001</v>
      </c>
      <c r="G36" s="27"/>
      <c r="H36" s="427"/>
      <c r="I36" s="427"/>
      <c r="J36" s="22"/>
      <c r="K36" s="30"/>
      <c r="L36" s="22"/>
      <c r="M36" s="72"/>
    </row>
    <row r="37" spans="1:13" x14ac:dyDescent="0.25">
      <c r="A37" s="71"/>
      <c r="B37" s="410" t="s">
        <v>117</v>
      </c>
      <c r="C37" s="411"/>
      <c r="D37" s="412"/>
      <c r="E37" s="413"/>
      <c r="F37" s="413"/>
      <c r="G37" s="414"/>
      <c r="H37" s="73"/>
      <c r="I37" s="73"/>
      <c r="J37" s="22"/>
      <c r="K37" s="30"/>
      <c r="L37" s="22"/>
      <c r="M37" s="72"/>
    </row>
    <row r="38" spans="1:13" x14ac:dyDescent="0.25">
      <c r="A38" s="91"/>
      <c r="B38" s="410" t="s">
        <v>118</v>
      </c>
      <c r="C38" s="411"/>
      <c r="D38" s="412"/>
      <c r="E38" s="413"/>
      <c r="F38" s="413"/>
      <c r="G38" s="414"/>
      <c r="H38" s="516"/>
      <c r="I38" s="516"/>
      <c r="J38" s="92"/>
      <c r="K38" s="43"/>
      <c r="L38" s="92"/>
      <c r="M38" s="93"/>
    </row>
    <row r="39" spans="1:13" x14ac:dyDescent="0.25">
      <c r="A39" s="68" t="s">
        <v>119</v>
      </c>
      <c r="B39" s="428" t="s">
        <v>120</v>
      </c>
      <c r="C39" s="429"/>
      <c r="D39" s="425"/>
      <c r="E39" s="429" t="s">
        <v>121</v>
      </c>
      <c r="F39" s="429"/>
      <c r="G39" s="425"/>
      <c r="H39" s="499">
        <f>M34</f>
        <v>2067.3000000000002</v>
      </c>
      <c r="I39" s="500"/>
      <c r="J39" s="76" t="s">
        <v>122</v>
      </c>
      <c r="K39" s="497">
        <f>M35</f>
        <v>284.25375000000003</v>
      </c>
      <c r="L39" s="497"/>
      <c r="M39" s="70">
        <f>(M34+M35)*F40*F41</f>
        <v>1711.9311299999999</v>
      </c>
    </row>
    <row r="40" spans="1:13" x14ac:dyDescent="0.25">
      <c r="A40" s="71"/>
      <c r="B40" s="410" t="s">
        <v>123</v>
      </c>
      <c r="C40" s="411"/>
      <c r="D40" s="412"/>
      <c r="E40" s="41" t="s">
        <v>103</v>
      </c>
      <c r="F40" s="46">
        <f>D41</f>
        <v>0.36399999999999999</v>
      </c>
      <c r="G40" s="27"/>
      <c r="H40" s="413" t="s">
        <v>166</v>
      </c>
      <c r="I40" s="413"/>
      <c r="J40" s="22"/>
      <c r="K40" s="30"/>
      <c r="L40" s="22"/>
      <c r="M40" s="72"/>
    </row>
    <row r="41" spans="1:13" x14ac:dyDescent="0.25">
      <c r="A41" s="71"/>
      <c r="B41" s="410" t="s">
        <v>125</v>
      </c>
      <c r="C41" s="411"/>
      <c r="D41" s="48">
        <v>0.36399999999999999</v>
      </c>
      <c r="E41" s="41" t="s">
        <v>103</v>
      </c>
      <c r="F41" s="30">
        <v>2</v>
      </c>
      <c r="G41" s="27" t="s">
        <v>167</v>
      </c>
      <c r="H41" s="29"/>
      <c r="I41" s="29"/>
      <c r="J41" s="22"/>
      <c r="K41" s="30"/>
      <c r="L41" s="22"/>
      <c r="M41" s="72"/>
    </row>
    <row r="42" spans="1:13" s="98" customFormat="1" x14ac:dyDescent="0.25">
      <c r="A42" s="94"/>
      <c r="B42" s="410" t="s">
        <v>127</v>
      </c>
      <c r="C42" s="411"/>
      <c r="D42" s="412"/>
      <c r="E42" s="413"/>
      <c r="F42" s="413"/>
      <c r="G42" s="414"/>
      <c r="H42" s="515"/>
      <c r="I42" s="515"/>
      <c r="J42" s="515"/>
      <c r="K42" s="95"/>
      <c r="L42" s="96"/>
      <c r="M42" s="97"/>
    </row>
    <row r="43" spans="1:13" x14ac:dyDescent="0.25">
      <c r="A43" s="99" t="s">
        <v>128</v>
      </c>
      <c r="B43" s="429" t="s">
        <v>129</v>
      </c>
      <c r="C43" s="429"/>
      <c r="D43" s="429"/>
      <c r="E43" s="428" t="s">
        <v>168</v>
      </c>
      <c r="F43" s="429"/>
      <c r="G43" s="425"/>
      <c r="H43" s="499">
        <f>M34</f>
        <v>2067.3000000000002</v>
      </c>
      <c r="I43" s="500"/>
      <c r="J43" s="76" t="s">
        <v>122</v>
      </c>
      <c r="K43" s="497">
        <f>M35</f>
        <v>284.25375000000003</v>
      </c>
      <c r="L43" s="497"/>
      <c r="M43" s="70">
        <f>(M34+M35)*0.06*F45</f>
        <v>352.73306249999996</v>
      </c>
    </row>
    <row r="44" spans="1:13" x14ac:dyDescent="0.25">
      <c r="A44" s="100"/>
      <c r="B44" s="411" t="s">
        <v>131</v>
      </c>
      <c r="C44" s="411"/>
      <c r="D44" s="101">
        <v>0.06</v>
      </c>
      <c r="E44" s="79" t="s">
        <v>103</v>
      </c>
      <c r="F44" s="30">
        <v>0.06</v>
      </c>
      <c r="G44" s="80"/>
      <c r="H44" s="413" t="s">
        <v>132</v>
      </c>
      <c r="I44" s="413"/>
      <c r="J44" s="22"/>
      <c r="K44" s="30"/>
      <c r="L44" s="22"/>
      <c r="M44" s="102"/>
    </row>
    <row r="45" spans="1:13" x14ac:dyDescent="0.25">
      <c r="A45" s="100"/>
      <c r="B45" s="411" t="s">
        <v>133</v>
      </c>
      <c r="C45" s="411"/>
      <c r="D45" s="411"/>
      <c r="E45" s="79" t="s">
        <v>103</v>
      </c>
      <c r="F45" s="30">
        <v>2.5</v>
      </c>
      <c r="G45" s="80" t="s">
        <v>169</v>
      </c>
      <c r="H45" s="413"/>
      <c r="I45" s="413"/>
      <c r="J45" s="103"/>
      <c r="K45" s="103"/>
      <c r="L45" s="103"/>
      <c r="M45" s="102"/>
    </row>
    <row r="46" spans="1:13" x14ac:dyDescent="0.25">
      <c r="A46" s="100"/>
      <c r="B46" s="411" t="s">
        <v>135</v>
      </c>
      <c r="C46" s="411"/>
      <c r="D46" s="411"/>
      <c r="E46" s="415"/>
      <c r="F46" s="413"/>
      <c r="G46" s="414"/>
      <c r="H46" s="413"/>
      <c r="I46" s="413"/>
      <c r="J46" s="103"/>
      <c r="K46" s="103"/>
      <c r="L46" s="103"/>
      <c r="M46" s="102"/>
    </row>
    <row r="47" spans="1:13" x14ac:dyDescent="0.25">
      <c r="A47" s="104"/>
      <c r="B47" s="444" t="s">
        <v>136</v>
      </c>
      <c r="C47" s="444"/>
      <c r="D47" s="444"/>
      <c r="E47" s="513"/>
      <c r="F47" s="493"/>
      <c r="G47" s="514"/>
      <c r="H47" s="493"/>
      <c r="I47" s="493"/>
      <c r="J47" s="105"/>
      <c r="K47" s="105"/>
      <c r="L47" s="105"/>
      <c r="M47" s="106"/>
    </row>
    <row r="48" spans="1:13" ht="39.75" customHeight="1" x14ac:dyDescent="0.25">
      <c r="A48" s="107" t="s">
        <v>137</v>
      </c>
      <c r="B48" s="508" t="s">
        <v>170</v>
      </c>
      <c r="C48" s="508"/>
      <c r="D48" s="508"/>
      <c r="E48" s="509" t="s">
        <v>171</v>
      </c>
      <c r="F48" s="510"/>
      <c r="G48" s="511"/>
      <c r="H48" s="512">
        <f>M34+M35+M39+M43</f>
        <v>4416.2179424999995</v>
      </c>
      <c r="I48" s="502"/>
      <c r="J48" s="108" t="s">
        <v>112</v>
      </c>
      <c r="K48" s="87">
        <v>1.3</v>
      </c>
      <c r="L48" s="109"/>
      <c r="M48" s="110">
        <f>H48*K48</f>
        <v>5741.0833252499997</v>
      </c>
    </row>
    <row r="49" spans="1:13" x14ac:dyDescent="0.25">
      <c r="A49" s="111"/>
      <c r="B49" s="503" t="s">
        <v>172</v>
      </c>
      <c r="C49" s="503"/>
      <c r="D49" s="503"/>
      <c r="E49" s="504" t="s">
        <v>25</v>
      </c>
      <c r="F49" s="505"/>
      <c r="G49" s="506"/>
      <c r="H49" s="112"/>
      <c r="I49" s="112"/>
      <c r="J49" s="113"/>
      <c r="K49" s="113"/>
      <c r="L49" s="113"/>
      <c r="M49" s="114"/>
    </row>
    <row r="50" spans="1:13" x14ac:dyDescent="0.25">
      <c r="A50" s="99" t="s">
        <v>139</v>
      </c>
      <c r="B50" s="429" t="s">
        <v>173</v>
      </c>
      <c r="C50" s="429"/>
      <c r="D50" s="429"/>
      <c r="E50" s="428" t="s">
        <v>174</v>
      </c>
      <c r="F50" s="429"/>
      <c r="G50" s="425"/>
      <c r="H50" s="431">
        <v>135</v>
      </c>
      <c r="I50" s="431"/>
      <c r="J50" s="76" t="s">
        <v>112</v>
      </c>
      <c r="K50" s="39">
        <f>D53</f>
        <v>5</v>
      </c>
      <c r="L50" s="77"/>
      <c r="M50" s="70">
        <f>H50*D53</f>
        <v>675</v>
      </c>
    </row>
    <row r="51" spans="1:13" x14ac:dyDescent="0.25">
      <c r="A51" s="115"/>
      <c r="B51" s="411" t="s">
        <v>175</v>
      </c>
      <c r="C51" s="411"/>
      <c r="D51" s="411"/>
      <c r="E51" s="415"/>
      <c r="F51" s="413"/>
      <c r="G51" s="414"/>
      <c r="H51" s="427"/>
      <c r="I51" s="427"/>
      <c r="J51" s="103"/>
      <c r="K51" s="103"/>
      <c r="L51" s="103"/>
      <c r="M51" s="102"/>
    </row>
    <row r="52" spans="1:13" x14ac:dyDescent="0.25">
      <c r="A52" s="115"/>
      <c r="B52" s="411" t="s">
        <v>176</v>
      </c>
      <c r="C52" s="411"/>
      <c r="D52" s="411"/>
      <c r="E52" s="79"/>
      <c r="F52" s="64"/>
      <c r="G52" s="80"/>
      <c r="H52" s="73"/>
      <c r="I52" s="73"/>
      <c r="J52" s="103"/>
      <c r="K52" s="103"/>
      <c r="L52" s="103"/>
      <c r="M52" s="102"/>
    </row>
    <row r="53" spans="1:13" x14ac:dyDescent="0.25">
      <c r="A53" s="116"/>
      <c r="B53" s="507" t="s">
        <v>177</v>
      </c>
      <c r="C53" s="507"/>
      <c r="D53" s="43">
        <f>D32+D33</f>
        <v>5</v>
      </c>
      <c r="E53" s="117"/>
      <c r="F53" s="81"/>
      <c r="G53" s="118"/>
      <c r="H53" s="119"/>
      <c r="I53" s="119"/>
      <c r="J53" s="105"/>
      <c r="K53" s="105"/>
      <c r="L53" s="105"/>
      <c r="M53" s="106"/>
    </row>
    <row r="54" spans="1:13" x14ac:dyDescent="0.25">
      <c r="A54" s="99" t="s">
        <v>178</v>
      </c>
      <c r="B54" s="429" t="s">
        <v>173</v>
      </c>
      <c r="C54" s="429"/>
      <c r="D54" s="429"/>
      <c r="E54" s="428" t="s">
        <v>179</v>
      </c>
      <c r="F54" s="429"/>
      <c r="G54" s="425"/>
      <c r="H54" s="431">
        <v>101.9</v>
      </c>
      <c r="I54" s="431"/>
      <c r="J54" s="76" t="s">
        <v>112</v>
      </c>
      <c r="K54" s="39">
        <f>D57</f>
        <v>5</v>
      </c>
      <c r="L54" s="77"/>
      <c r="M54" s="70">
        <f>H54*D57</f>
        <v>509.5</v>
      </c>
    </row>
    <row r="55" spans="1:13" x14ac:dyDescent="0.25">
      <c r="A55" s="115"/>
      <c r="B55" s="411" t="s">
        <v>175</v>
      </c>
      <c r="C55" s="411"/>
      <c r="D55" s="411"/>
      <c r="E55" s="79"/>
      <c r="F55" s="64"/>
      <c r="G55" s="80"/>
      <c r="H55" s="29"/>
      <c r="I55" s="29"/>
      <c r="J55" s="103"/>
      <c r="K55" s="103"/>
      <c r="L55" s="103"/>
      <c r="M55" s="72"/>
    </row>
    <row r="56" spans="1:13" x14ac:dyDescent="0.25">
      <c r="A56" s="115"/>
      <c r="B56" s="411" t="s">
        <v>180</v>
      </c>
      <c r="C56" s="411"/>
      <c r="D56" s="411"/>
      <c r="E56" s="79"/>
      <c r="F56" s="64"/>
      <c r="G56" s="80"/>
      <c r="H56" s="29"/>
      <c r="I56" s="29"/>
      <c r="J56" s="103"/>
      <c r="K56" s="103"/>
      <c r="L56" s="103"/>
      <c r="M56" s="72"/>
    </row>
    <row r="57" spans="1:13" x14ac:dyDescent="0.25">
      <c r="A57" s="115"/>
      <c r="B57" s="436" t="s">
        <v>181</v>
      </c>
      <c r="C57" s="436"/>
      <c r="D57" s="30">
        <f>D53</f>
        <v>5</v>
      </c>
      <c r="E57" s="79"/>
      <c r="F57" s="30"/>
      <c r="G57" s="80"/>
      <c r="H57" s="29"/>
      <c r="I57" s="29"/>
      <c r="J57" s="103"/>
      <c r="K57" s="103"/>
      <c r="L57" s="103"/>
      <c r="M57" s="72"/>
    </row>
    <row r="58" spans="1:13" x14ac:dyDescent="0.25">
      <c r="A58" s="99" t="s">
        <v>182</v>
      </c>
      <c r="B58" s="429" t="s">
        <v>183</v>
      </c>
      <c r="C58" s="429"/>
      <c r="D58" s="429"/>
      <c r="E58" s="428" t="s">
        <v>184</v>
      </c>
      <c r="F58" s="429"/>
      <c r="G58" s="425"/>
      <c r="H58" s="431">
        <v>78.099999999999994</v>
      </c>
      <c r="I58" s="431"/>
      <c r="J58" s="76" t="s">
        <v>112</v>
      </c>
      <c r="K58" s="39">
        <f>D61</f>
        <v>1</v>
      </c>
      <c r="L58" s="77"/>
      <c r="M58" s="70">
        <f>H58*D61</f>
        <v>78.099999999999994</v>
      </c>
    </row>
    <row r="59" spans="1:13" x14ac:dyDescent="0.25">
      <c r="A59" s="115"/>
      <c r="B59" s="411" t="s">
        <v>185</v>
      </c>
      <c r="C59" s="411"/>
      <c r="D59" s="411"/>
      <c r="E59" s="79"/>
      <c r="F59" s="30"/>
      <c r="G59" s="80"/>
      <c r="H59" s="427"/>
      <c r="I59" s="427"/>
      <c r="J59" s="120"/>
      <c r="K59" s="103"/>
      <c r="L59" s="103"/>
      <c r="M59" s="102"/>
    </row>
    <row r="60" spans="1:13" x14ac:dyDescent="0.25">
      <c r="A60" s="115"/>
      <c r="B60" s="411" t="s">
        <v>186</v>
      </c>
      <c r="C60" s="411"/>
      <c r="D60" s="411"/>
      <c r="E60" s="79"/>
      <c r="F60" s="30"/>
      <c r="G60" s="80"/>
      <c r="H60" s="73"/>
      <c r="I60" s="73"/>
      <c r="J60" s="103"/>
      <c r="K60" s="103"/>
      <c r="L60" s="103"/>
      <c r="M60" s="102"/>
    </row>
    <row r="61" spans="1:13" x14ac:dyDescent="0.25">
      <c r="A61" s="115"/>
      <c r="B61" s="436" t="s">
        <v>181</v>
      </c>
      <c r="C61" s="436"/>
      <c r="D61" s="30">
        <v>1</v>
      </c>
      <c r="E61" s="79"/>
      <c r="F61" s="30"/>
      <c r="G61" s="80"/>
      <c r="H61" s="73"/>
      <c r="I61" s="73"/>
      <c r="J61" s="103"/>
      <c r="K61" s="103"/>
      <c r="L61" s="103"/>
      <c r="M61" s="102"/>
    </row>
    <row r="62" spans="1:13" x14ac:dyDescent="0.25">
      <c r="A62" s="99" t="s">
        <v>187</v>
      </c>
      <c r="B62" s="429" t="s">
        <v>188</v>
      </c>
      <c r="C62" s="429"/>
      <c r="D62" s="429"/>
      <c r="E62" s="428" t="s">
        <v>189</v>
      </c>
      <c r="F62" s="429"/>
      <c r="G62" s="425"/>
      <c r="H62" s="431">
        <v>18.2</v>
      </c>
      <c r="I62" s="431"/>
      <c r="J62" s="76" t="s">
        <v>112</v>
      </c>
      <c r="K62" s="69">
        <f>D65</f>
        <v>1</v>
      </c>
      <c r="L62" s="77"/>
      <c r="M62" s="70">
        <f>H62*D65</f>
        <v>18.2</v>
      </c>
    </row>
    <row r="63" spans="1:13" x14ac:dyDescent="0.25">
      <c r="A63" s="115"/>
      <c r="B63" s="411" t="s">
        <v>190</v>
      </c>
      <c r="C63" s="411"/>
      <c r="D63" s="411"/>
      <c r="E63" s="79"/>
      <c r="F63" s="64"/>
      <c r="G63" s="80"/>
      <c r="H63" s="73"/>
      <c r="I63" s="73"/>
      <c r="J63" s="103"/>
      <c r="K63" s="64"/>
      <c r="L63" s="103"/>
      <c r="M63" s="72"/>
    </row>
    <row r="64" spans="1:13" x14ac:dyDescent="0.25">
      <c r="A64" s="115"/>
      <c r="B64" s="411" t="s">
        <v>191</v>
      </c>
      <c r="C64" s="411"/>
      <c r="D64" s="411"/>
      <c r="E64" s="79"/>
      <c r="F64" s="64"/>
      <c r="G64" s="80"/>
      <c r="H64" s="73"/>
      <c r="I64" s="73"/>
      <c r="J64" s="103"/>
      <c r="K64" s="64"/>
      <c r="L64" s="103"/>
      <c r="M64" s="72"/>
    </row>
    <row r="65" spans="1:15" x14ac:dyDescent="0.25">
      <c r="A65" s="115"/>
      <c r="B65" s="436" t="s">
        <v>181</v>
      </c>
      <c r="C65" s="436"/>
      <c r="D65" s="30">
        <f>O18</f>
        <v>1</v>
      </c>
      <c r="E65" s="79"/>
      <c r="F65" s="64"/>
      <c r="G65" s="80"/>
      <c r="H65" s="73"/>
      <c r="I65" s="73"/>
      <c r="J65" s="103"/>
      <c r="K65" s="64"/>
      <c r="L65" s="103"/>
      <c r="M65" s="72"/>
    </row>
    <row r="66" spans="1:15" x14ac:dyDescent="0.25">
      <c r="A66" s="99" t="s">
        <v>192</v>
      </c>
      <c r="B66" s="429" t="s">
        <v>188</v>
      </c>
      <c r="C66" s="429"/>
      <c r="D66" s="429"/>
      <c r="E66" s="428" t="s">
        <v>193</v>
      </c>
      <c r="F66" s="429"/>
      <c r="G66" s="425"/>
      <c r="H66" s="431">
        <v>25.4</v>
      </c>
      <c r="I66" s="431"/>
      <c r="J66" s="76" t="s">
        <v>112</v>
      </c>
      <c r="K66" s="69">
        <f>D70</f>
        <v>1</v>
      </c>
      <c r="L66" s="76"/>
      <c r="M66" s="70">
        <f>H66*D70</f>
        <v>25.4</v>
      </c>
    </row>
    <row r="67" spans="1:15" x14ac:dyDescent="0.25">
      <c r="A67" s="115"/>
      <c r="B67" s="411" t="s">
        <v>194</v>
      </c>
      <c r="C67" s="411"/>
      <c r="D67" s="411"/>
      <c r="E67" s="415"/>
      <c r="F67" s="413"/>
      <c r="G67" s="414"/>
      <c r="H67" s="413"/>
      <c r="I67" s="413"/>
      <c r="J67" s="103"/>
      <c r="K67" s="103"/>
      <c r="L67" s="103"/>
      <c r="M67" s="102"/>
    </row>
    <row r="68" spans="1:15" x14ac:dyDescent="0.25">
      <c r="A68" s="115"/>
      <c r="B68" s="411" t="s">
        <v>195</v>
      </c>
      <c r="C68" s="411"/>
      <c r="D68" s="411"/>
      <c r="E68" s="415"/>
      <c r="F68" s="413"/>
      <c r="G68" s="414"/>
      <c r="H68" s="413"/>
      <c r="I68" s="413"/>
      <c r="J68" s="103"/>
      <c r="K68" s="103"/>
      <c r="L68" s="103"/>
      <c r="M68" s="102"/>
    </row>
    <row r="69" spans="1:15" x14ac:dyDescent="0.25">
      <c r="A69" s="115"/>
      <c r="B69" s="411" t="s">
        <v>196</v>
      </c>
      <c r="C69" s="411"/>
      <c r="D69" s="411"/>
      <c r="E69" s="79"/>
      <c r="F69" s="64"/>
      <c r="G69" s="80"/>
      <c r="H69" s="29"/>
      <c r="I69" s="29"/>
      <c r="J69" s="103"/>
      <c r="K69" s="103"/>
      <c r="L69" s="103"/>
      <c r="M69" s="102"/>
    </row>
    <row r="70" spans="1:15" x14ac:dyDescent="0.25">
      <c r="A70" s="115"/>
      <c r="B70" s="436" t="s">
        <v>181</v>
      </c>
      <c r="C70" s="436"/>
      <c r="D70" s="30">
        <f>O18</f>
        <v>1</v>
      </c>
      <c r="E70" s="79"/>
      <c r="F70" s="64"/>
      <c r="G70" s="80"/>
      <c r="H70" s="29"/>
      <c r="I70" s="29"/>
      <c r="J70" s="103"/>
      <c r="K70" s="103"/>
      <c r="L70" s="103"/>
      <c r="M70" s="102"/>
    </row>
    <row r="71" spans="1:15" x14ac:dyDescent="0.25">
      <c r="A71" s="107" t="s">
        <v>197</v>
      </c>
      <c r="B71" s="495" t="s">
        <v>198</v>
      </c>
      <c r="C71" s="495"/>
      <c r="D71" s="495"/>
      <c r="E71" s="501"/>
      <c r="F71" s="419"/>
      <c r="G71" s="420"/>
      <c r="H71" s="502"/>
      <c r="I71" s="502"/>
      <c r="J71" s="502"/>
      <c r="K71" s="502"/>
      <c r="L71" s="502"/>
      <c r="M71" s="110">
        <f>M50+M54+M58+M62+M66</f>
        <v>1306.2</v>
      </c>
    </row>
    <row r="72" spans="1:15" x14ac:dyDescent="0.25">
      <c r="A72" s="107"/>
      <c r="B72" s="503" t="s">
        <v>199</v>
      </c>
      <c r="C72" s="503"/>
      <c r="D72" s="503"/>
      <c r="E72" s="504" t="s">
        <v>26</v>
      </c>
      <c r="F72" s="505"/>
      <c r="G72" s="506"/>
      <c r="H72" s="112"/>
      <c r="I72" s="112"/>
      <c r="J72" s="113"/>
      <c r="K72" s="113"/>
      <c r="L72" s="113"/>
      <c r="M72" s="110"/>
    </row>
    <row r="73" spans="1:15" x14ac:dyDescent="0.25">
      <c r="A73" s="99" t="s">
        <v>200</v>
      </c>
      <c r="B73" s="429" t="s">
        <v>201</v>
      </c>
      <c r="C73" s="429"/>
      <c r="D73" s="429"/>
      <c r="E73" s="428" t="s">
        <v>202</v>
      </c>
      <c r="F73" s="429"/>
      <c r="G73" s="425"/>
      <c r="H73" s="431">
        <v>8.1999999999999993</v>
      </c>
      <c r="I73" s="431"/>
      <c r="J73" s="76" t="s">
        <v>112</v>
      </c>
      <c r="K73" s="69">
        <f>D75</f>
        <v>16</v>
      </c>
      <c r="L73" s="77"/>
      <c r="M73" s="70">
        <f>H73*D75</f>
        <v>131.19999999999999</v>
      </c>
    </row>
    <row r="74" spans="1:15" x14ac:dyDescent="0.25">
      <c r="A74" s="115"/>
      <c r="B74" s="411" t="s">
        <v>203</v>
      </c>
      <c r="C74" s="411"/>
      <c r="D74" s="411"/>
      <c r="E74" s="79"/>
      <c r="F74" s="64"/>
      <c r="G74" s="80"/>
      <c r="H74" s="29"/>
      <c r="I74" s="29"/>
      <c r="J74" s="103"/>
      <c r="K74" s="103"/>
      <c r="L74" s="103"/>
      <c r="M74" s="72"/>
    </row>
    <row r="75" spans="1:15" x14ac:dyDescent="0.25">
      <c r="A75" s="115"/>
      <c r="B75" s="30" t="s">
        <v>204</v>
      </c>
      <c r="C75" s="73" t="s">
        <v>205</v>
      </c>
      <c r="D75" s="30">
        <f>D25</f>
        <v>16</v>
      </c>
      <c r="E75" s="79"/>
      <c r="F75" s="64"/>
      <c r="G75" s="80"/>
      <c r="H75" s="29"/>
      <c r="I75" s="29"/>
      <c r="J75" s="103"/>
      <c r="K75" s="103"/>
      <c r="L75" s="103"/>
      <c r="M75" s="72"/>
    </row>
    <row r="76" spans="1:15" x14ac:dyDescent="0.25">
      <c r="A76" s="99" t="s">
        <v>206</v>
      </c>
      <c r="B76" s="429" t="s">
        <v>201</v>
      </c>
      <c r="C76" s="429"/>
      <c r="D76" s="429"/>
      <c r="E76" s="428" t="s">
        <v>207</v>
      </c>
      <c r="F76" s="429"/>
      <c r="G76" s="425"/>
      <c r="H76" s="499">
        <f>M71</f>
        <v>1306.2</v>
      </c>
      <c r="I76" s="500"/>
      <c r="J76" s="47" t="s">
        <v>112</v>
      </c>
      <c r="K76" s="69">
        <f>D78</f>
        <v>0.2</v>
      </c>
      <c r="L76" s="33"/>
      <c r="M76" s="70">
        <f>H76*K76</f>
        <v>261.24</v>
      </c>
    </row>
    <row r="77" spans="1:15" x14ac:dyDescent="0.25">
      <c r="A77" s="115"/>
      <c r="B77" s="411" t="s">
        <v>208</v>
      </c>
      <c r="C77" s="411"/>
      <c r="D77" s="411"/>
      <c r="E77" s="79"/>
      <c r="F77" s="64"/>
      <c r="G77" s="80"/>
      <c r="H77" s="29"/>
      <c r="I77" s="29"/>
      <c r="J77" s="103"/>
      <c r="K77" s="103"/>
      <c r="L77" s="103"/>
      <c r="M77" s="72"/>
    </row>
    <row r="78" spans="1:15" x14ac:dyDescent="0.25">
      <c r="A78" s="115"/>
      <c r="B78" s="413" t="s">
        <v>209</v>
      </c>
      <c r="C78" s="413"/>
      <c r="D78" s="101">
        <v>0.2</v>
      </c>
      <c r="E78" s="79"/>
      <c r="F78" s="30"/>
      <c r="G78" s="80"/>
      <c r="H78" s="29"/>
      <c r="I78" s="29"/>
      <c r="J78" s="103"/>
      <c r="K78" s="103"/>
      <c r="L78" s="103"/>
      <c r="M78" s="72"/>
    </row>
    <row r="79" spans="1:15" x14ac:dyDescent="0.25">
      <c r="A79" s="99" t="s">
        <v>210</v>
      </c>
      <c r="B79" s="429" t="s">
        <v>211</v>
      </c>
      <c r="C79" s="429"/>
      <c r="D79" s="121">
        <v>0.21</v>
      </c>
      <c r="E79" s="428" t="s">
        <v>212</v>
      </c>
      <c r="F79" s="429"/>
      <c r="G79" s="425"/>
      <c r="H79" s="496">
        <f>M73</f>
        <v>131.19999999999999</v>
      </c>
      <c r="I79" s="431"/>
      <c r="J79" s="122" t="s">
        <v>122</v>
      </c>
      <c r="K79" s="497">
        <f>M76</f>
        <v>261.24</v>
      </c>
      <c r="L79" s="498"/>
      <c r="M79" s="70">
        <f>(M73+M76)*D79</f>
        <v>82.412399999999991</v>
      </c>
      <c r="O79" s="17" t="s">
        <v>213</v>
      </c>
    </row>
    <row r="80" spans="1:15" x14ac:dyDescent="0.25">
      <c r="A80" s="104"/>
      <c r="B80" s="444"/>
      <c r="C80" s="444"/>
      <c r="D80" s="123"/>
      <c r="E80" s="117"/>
      <c r="F80" s="43"/>
      <c r="G80" s="118"/>
      <c r="H80" s="493" t="s">
        <v>214</v>
      </c>
      <c r="I80" s="493"/>
      <c r="J80" s="92"/>
      <c r="K80" s="43"/>
      <c r="L80" s="92"/>
      <c r="M80" s="106"/>
    </row>
    <row r="81" spans="1:13" x14ac:dyDescent="0.25">
      <c r="A81" s="116" t="s">
        <v>215</v>
      </c>
      <c r="B81" s="444" t="s">
        <v>216</v>
      </c>
      <c r="C81" s="444"/>
      <c r="D81" s="444"/>
      <c r="E81" s="494" t="s">
        <v>217</v>
      </c>
      <c r="F81" s="444"/>
      <c r="G81" s="445"/>
      <c r="H81" s="427">
        <v>94.7</v>
      </c>
      <c r="I81" s="427"/>
      <c r="J81" s="82" t="s">
        <v>112</v>
      </c>
      <c r="K81" s="30">
        <f>O18</f>
        <v>1</v>
      </c>
      <c r="L81" s="83"/>
      <c r="M81" s="93">
        <f>H81*K81</f>
        <v>94.7</v>
      </c>
    </row>
    <row r="82" spans="1:13" x14ac:dyDescent="0.25">
      <c r="A82" s="107" t="s">
        <v>218</v>
      </c>
      <c r="B82" s="495" t="s">
        <v>219</v>
      </c>
      <c r="C82" s="495"/>
      <c r="D82" s="495"/>
      <c r="E82" s="124"/>
      <c r="F82" s="88"/>
      <c r="G82" s="125"/>
      <c r="H82" s="112"/>
      <c r="I82" s="422"/>
      <c r="J82" s="422"/>
      <c r="K82" s="422"/>
      <c r="L82" s="422"/>
      <c r="M82" s="110">
        <f>M73+M76+M79+M81</f>
        <v>569.55240000000003</v>
      </c>
    </row>
    <row r="83" spans="1:13" ht="15.75" thickBot="1" x14ac:dyDescent="0.3">
      <c r="A83" s="99" t="s">
        <v>220</v>
      </c>
      <c r="B83" s="486" t="s">
        <v>221</v>
      </c>
      <c r="C83" s="486"/>
      <c r="D83" s="486"/>
      <c r="E83" s="126"/>
      <c r="F83" s="69"/>
      <c r="G83" s="127"/>
      <c r="H83" s="47"/>
      <c r="I83" s="47"/>
      <c r="J83" s="128"/>
      <c r="K83" s="128"/>
      <c r="L83" s="128"/>
      <c r="M83" s="129">
        <f>M48+M71+M82</f>
        <v>7616.8357252499991</v>
      </c>
    </row>
    <row r="84" spans="1:13" ht="42.75" customHeight="1" thickBot="1" x14ac:dyDescent="0.3">
      <c r="A84" s="130" t="s">
        <v>222</v>
      </c>
      <c r="B84" s="403" t="s">
        <v>460</v>
      </c>
      <c r="C84" s="404"/>
      <c r="D84" s="405"/>
      <c r="E84" s="131" t="s">
        <v>103</v>
      </c>
      <c r="F84" s="132">
        <v>50.07</v>
      </c>
      <c r="G84" s="133"/>
      <c r="H84" s="487">
        <f>M83</f>
        <v>7616.8357252499991</v>
      </c>
      <c r="I84" s="488"/>
      <c r="J84" s="134" t="s">
        <v>112</v>
      </c>
      <c r="K84" s="135">
        <f>F84</f>
        <v>50.07</v>
      </c>
      <c r="L84" s="136"/>
      <c r="M84" s="137"/>
    </row>
    <row r="85" spans="1:13" ht="15.75" thickBot="1" x14ac:dyDescent="0.3">
      <c r="A85" s="138"/>
      <c r="B85" s="489" t="s">
        <v>223</v>
      </c>
      <c r="C85" s="489"/>
      <c r="D85" s="489"/>
      <c r="E85" s="139" t="s">
        <v>103</v>
      </c>
      <c r="F85" s="140">
        <v>1.25</v>
      </c>
      <c r="G85" s="141" t="s">
        <v>224</v>
      </c>
      <c r="H85" s="490"/>
      <c r="I85" s="491"/>
      <c r="J85" s="142" t="s">
        <v>112</v>
      </c>
      <c r="K85" s="143">
        <f>F85</f>
        <v>1.25</v>
      </c>
      <c r="L85" s="144"/>
      <c r="M85" s="145">
        <f>H84*K84*K85</f>
        <v>476718.70595408429</v>
      </c>
    </row>
    <row r="86" spans="1:13" x14ac:dyDescent="0.25">
      <c r="A86" s="53"/>
      <c r="B86" s="492"/>
      <c r="C86" s="492"/>
      <c r="D86" s="492"/>
      <c r="E86" s="413"/>
      <c r="F86" s="413"/>
      <c r="G86" s="413"/>
      <c r="H86" s="413"/>
      <c r="I86" s="413"/>
      <c r="J86" s="103"/>
      <c r="K86" s="103"/>
      <c r="L86" s="103"/>
      <c r="M86" s="41"/>
    </row>
    <row r="87" spans="1:13" x14ac:dyDescent="0.25">
      <c r="B87" s="492"/>
      <c r="C87" s="492"/>
      <c r="D87" s="492"/>
      <c r="E87" s="413"/>
      <c r="F87" s="413"/>
      <c r="G87" s="413"/>
    </row>
    <row r="88" spans="1:13" x14ac:dyDescent="0.25">
      <c r="B88" s="492"/>
      <c r="C88" s="492"/>
      <c r="D88" s="492"/>
      <c r="E88" s="413"/>
      <c r="F88" s="413"/>
      <c r="G88" s="413"/>
    </row>
    <row r="89" spans="1:13" x14ac:dyDescent="0.25">
      <c r="B89" s="492"/>
      <c r="C89" s="492"/>
      <c r="D89" s="492"/>
      <c r="E89" s="413"/>
      <c r="F89" s="413"/>
      <c r="G89" s="413"/>
    </row>
  </sheetData>
  <mergeCells count="168">
    <mergeCell ref="A11:D12"/>
    <mergeCell ref="E11:M12"/>
    <mergeCell ref="A13:A18"/>
    <mergeCell ref="B13:D18"/>
    <mergeCell ref="E13:G18"/>
    <mergeCell ref="H13:L18"/>
    <mergeCell ref="M13:M18"/>
    <mergeCell ref="A1:M1"/>
    <mergeCell ref="A2:M2"/>
    <mergeCell ref="A3:M3"/>
    <mergeCell ref="A5:D8"/>
    <mergeCell ref="E5:M8"/>
    <mergeCell ref="A9:D10"/>
    <mergeCell ref="E9:M10"/>
    <mergeCell ref="B21:D21"/>
    <mergeCell ref="E21:G21"/>
    <mergeCell ref="H21:I21"/>
    <mergeCell ref="B22:D22"/>
    <mergeCell ref="E22:G22"/>
    <mergeCell ref="H22:I22"/>
    <mergeCell ref="B19:D19"/>
    <mergeCell ref="E19:G19"/>
    <mergeCell ref="H19:L19"/>
    <mergeCell ref="B20:D20"/>
    <mergeCell ref="E20:G20"/>
    <mergeCell ref="H20:I20"/>
    <mergeCell ref="B27:D27"/>
    <mergeCell ref="B28:D28"/>
    <mergeCell ref="B29:C29"/>
    <mergeCell ref="E29:G29"/>
    <mergeCell ref="H29:I29"/>
    <mergeCell ref="E30:G30"/>
    <mergeCell ref="B23:D23"/>
    <mergeCell ref="E23:G23"/>
    <mergeCell ref="H23:I23"/>
    <mergeCell ref="B24:D24"/>
    <mergeCell ref="E24:G24"/>
    <mergeCell ref="B26:D26"/>
    <mergeCell ref="E26:G26"/>
    <mergeCell ref="H26:I26"/>
    <mergeCell ref="B33:C33"/>
    <mergeCell ref="E33:F33"/>
    <mergeCell ref="H33:I33"/>
    <mergeCell ref="B34:D34"/>
    <mergeCell ref="E34:G34"/>
    <mergeCell ref="H34:I34"/>
    <mergeCell ref="B31:D31"/>
    <mergeCell ref="E31:G31"/>
    <mergeCell ref="H31:I31"/>
    <mergeCell ref="B32:C32"/>
    <mergeCell ref="E32:F32"/>
    <mergeCell ref="H32:I32"/>
    <mergeCell ref="B38:D38"/>
    <mergeCell ref="E38:G38"/>
    <mergeCell ref="H38:I38"/>
    <mergeCell ref="B39:D39"/>
    <mergeCell ref="E39:G39"/>
    <mergeCell ref="H39:I39"/>
    <mergeCell ref="B35:D35"/>
    <mergeCell ref="E35:G35"/>
    <mergeCell ref="H35:I35"/>
    <mergeCell ref="B36:C36"/>
    <mergeCell ref="H36:I36"/>
    <mergeCell ref="B37:D37"/>
    <mergeCell ref="E37:G37"/>
    <mergeCell ref="K43:L43"/>
    <mergeCell ref="B44:C44"/>
    <mergeCell ref="H44:I44"/>
    <mergeCell ref="K39:L39"/>
    <mergeCell ref="B40:D40"/>
    <mergeCell ref="H40:I40"/>
    <mergeCell ref="B41:C41"/>
    <mergeCell ref="B42:D42"/>
    <mergeCell ref="E42:G42"/>
    <mergeCell ref="H42:J42"/>
    <mergeCell ref="B45:D45"/>
    <mergeCell ref="H45:I45"/>
    <mergeCell ref="B46:D46"/>
    <mergeCell ref="E46:G46"/>
    <mergeCell ref="H46:I46"/>
    <mergeCell ref="B47:D47"/>
    <mergeCell ref="E47:G47"/>
    <mergeCell ref="H47:I47"/>
    <mergeCell ref="B43:D43"/>
    <mergeCell ref="E43:G43"/>
    <mergeCell ref="H43:I43"/>
    <mergeCell ref="B51:D51"/>
    <mergeCell ref="E51:G51"/>
    <mergeCell ref="H51:I51"/>
    <mergeCell ref="B52:D52"/>
    <mergeCell ref="B53:C53"/>
    <mergeCell ref="B54:D54"/>
    <mergeCell ref="E54:G54"/>
    <mergeCell ref="H54:I54"/>
    <mergeCell ref="B48:D48"/>
    <mergeCell ref="E48:G48"/>
    <mergeCell ref="H48:I48"/>
    <mergeCell ref="B49:D49"/>
    <mergeCell ref="E49:G49"/>
    <mergeCell ref="B50:D50"/>
    <mergeCell ref="E50:G50"/>
    <mergeCell ref="H50:I50"/>
    <mergeCell ref="B59:D59"/>
    <mergeCell ref="H59:I59"/>
    <mergeCell ref="B60:D60"/>
    <mergeCell ref="B61:C61"/>
    <mergeCell ref="B62:D62"/>
    <mergeCell ref="E62:G62"/>
    <mergeCell ref="H62:I62"/>
    <mergeCell ref="B55:D55"/>
    <mergeCell ref="B56:D56"/>
    <mergeCell ref="B57:C57"/>
    <mergeCell ref="B58:D58"/>
    <mergeCell ref="E58:G58"/>
    <mergeCell ref="H58:I58"/>
    <mergeCell ref="B67:D67"/>
    <mergeCell ref="E67:G67"/>
    <mergeCell ref="H67:I67"/>
    <mergeCell ref="B68:D68"/>
    <mergeCell ref="E68:G68"/>
    <mergeCell ref="H68:I68"/>
    <mergeCell ref="B63:D63"/>
    <mergeCell ref="B64:D64"/>
    <mergeCell ref="B65:C65"/>
    <mergeCell ref="B66:D66"/>
    <mergeCell ref="E66:G66"/>
    <mergeCell ref="H66:I66"/>
    <mergeCell ref="B73:D73"/>
    <mergeCell ref="E73:G73"/>
    <mergeCell ref="H73:I73"/>
    <mergeCell ref="B74:D74"/>
    <mergeCell ref="B76:D76"/>
    <mergeCell ref="E76:G76"/>
    <mergeCell ref="H76:I76"/>
    <mergeCell ref="B69:D69"/>
    <mergeCell ref="B70:C70"/>
    <mergeCell ref="B71:D71"/>
    <mergeCell ref="E71:G71"/>
    <mergeCell ref="H71:L71"/>
    <mergeCell ref="B72:D72"/>
    <mergeCell ref="E72:G72"/>
    <mergeCell ref="B80:C80"/>
    <mergeCell ref="H80:I80"/>
    <mergeCell ref="B81:D81"/>
    <mergeCell ref="E81:G81"/>
    <mergeCell ref="H81:I81"/>
    <mergeCell ref="B82:D82"/>
    <mergeCell ref="I82:L82"/>
    <mergeCell ref="B77:D77"/>
    <mergeCell ref="B78:C78"/>
    <mergeCell ref="B79:C79"/>
    <mergeCell ref="E79:G79"/>
    <mergeCell ref="H79:I79"/>
    <mergeCell ref="K79:L79"/>
    <mergeCell ref="B83:D83"/>
    <mergeCell ref="B84:D84"/>
    <mergeCell ref="H84:I84"/>
    <mergeCell ref="B85:D85"/>
    <mergeCell ref="H85:I85"/>
    <mergeCell ref="B86:D86"/>
    <mergeCell ref="E86:G86"/>
    <mergeCell ref="H86:I86"/>
    <mergeCell ref="B89:D89"/>
    <mergeCell ref="E89:G89"/>
    <mergeCell ref="B87:D87"/>
    <mergeCell ref="E87:G87"/>
    <mergeCell ref="B88:D88"/>
    <mergeCell ref="E88:G88"/>
  </mergeCells>
  <pageMargins left="0.52" right="0.42" top="0.55000000000000004" bottom="0.52" header="0.3" footer="0.3"/>
  <pageSetup paperSize="9" orientation="portrait" horizontalDpi="180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19"/>
  <sheetViews>
    <sheetView view="pageBreakPreview" topLeftCell="A28" zoomScale="125" zoomScaleNormal="100" workbookViewId="0">
      <selection activeCell="D30" sqref="D30"/>
    </sheetView>
  </sheetViews>
  <sheetFormatPr defaultRowHeight="15" x14ac:dyDescent="0.2"/>
  <cols>
    <col min="1" max="1" width="5.42578125" style="209" customWidth="1"/>
    <col min="2" max="2" width="26.42578125" style="210" customWidth="1"/>
    <col min="3" max="3" width="7.42578125" style="211" customWidth="1"/>
    <col min="4" max="4" width="22.85546875" style="210" customWidth="1"/>
    <col min="5" max="5" width="12.5703125" style="212" customWidth="1"/>
    <col min="6" max="6" width="5.7109375" style="213" customWidth="1"/>
    <col min="7" max="7" width="15.140625" style="214" customWidth="1"/>
    <col min="8" max="8" width="11.7109375" style="160" hidden="1" customWidth="1"/>
    <col min="9" max="9" width="17.140625" style="157" hidden="1" customWidth="1"/>
    <col min="10" max="10" width="13.5703125" style="157" hidden="1" customWidth="1"/>
    <col min="11" max="12" width="9.140625" style="158" hidden="1" customWidth="1"/>
    <col min="13" max="13" width="12.7109375" style="158" hidden="1" customWidth="1"/>
    <col min="14" max="14" width="11.85546875" style="158" hidden="1" customWidth="1"/>
    <col min="15" max="15" width="9.140625" style="158" hidden="1" customWidth="1"/>
    <col min="16" max="16" width="8.85546875" style="157" hidden="1" customWidth="1"/>
    <col min="17" max="24" width="9.140625" style="158" hidden="1" customWidth="1"/>
    <col min="25" max="26" width="13" style="158" hidden="1" customWidth="1"/>
    <col min="27" max="256" width="9.140625" style="158"/>
    <col min="257" max="257" width="5.42578125" style="158" customWidth="1"/>
    <col min="258" max="258" width="26.42578125" style="158" customWidth="1"/>
    <col min="259" max="259" width="7.42578125" style="158" customWidth="1"/>
    <col min="260" max="260" width="22.85546875" style="158" customWidth="1"/>
    <col min="261" max="261" width="12.5703125" style="158" customWidth="1"/>
    <col min="262" max="262" width="5.7109375" style="158" customWidth="1"/>
    <col min="263" max="263" width="15.140625" style="158" customWidth="1"/>
    <col min="264" max="282" width="0" style="158" hidden="1" customWidth="1"/>
    <col min="283" max="512" width="9.140625" style="158"/>
    <col min="513" max="513" width="5.42578125" style="158" customWidth="1"/>
    <col min="514" max="514" width="26.42578125" style="158" customWidth="1"/>
    <col min="515" max="515" width="7.42578125" style="158" customWidth="1"/>
    <col min="516" max="516" width="22.85546875" style="158" customWidth="1"/>
    <col min="517" max="517" width="12.5703125" style="158" customWidth="1"/>
    <col min="518" max="518" width="5.7109375" style="158" customWidth="1"/>
    <col min="519" max="519" width="15.140625" style="158" customWidth="1"/>
    <col min="520" max="538" width="0" style="158" hidden="1" customWidth="1"/>
    <col min="539" max="768" width="9.140625" style="158"/>
    <col min="769" max="769" width="5.42578125" style="158" customWidth="1"/>
    <col min="770" max="770" width="26.42578125" style="158" customWidth="1"/>
    <col min="771" max="771" width="7.42578125" style="158" customWidth="1"/>
    <col min="772" max="772" width="22.85546875" style="158" customWidth="1"/>
    <col min="773" max="773" width="12.5703125" style="158" customWidth="1"/>
    <col min="774" max="774" width="5.7109375" style="158" customWidth="1"/>
    <col min="775" max="775" width="15.140625" style="158" customWidth="1"/>
    <col min="776" max="794" width="0" style="158" hidden="1" customWidth="1"/>
    <col min="795" max="1024" width="9.140625" style="158"/>
    <col min="1025" max="1025" width="5.42578125" style="158" customWidth="1"/>
    <col min="1026" max="1026" width="26.42578125" style="158" customWidth="1"/>
    <col min="1027" max="1027" width="7.42578125" style="158" customWidth="1"/>
    <col min="1028" max="1028" width="22.85546875" style="158" customWidth="1"/>
    <col min="1029" max="1029" width="12.5703125" style="158" customWidth="1"/>
    <col min="1030" max="1030" width="5.7109375" style="158" customWidth="1"/>
    <col min="1031" max="1031" width="15.140625" style="158" customWidth="1"/>
    <col min="1032" max="1050" width="0" style="158" hidden="1" customWidth="1"/>
    <col min="1051" max="1280" width="9.140625" style="158"/>
    <col min="1281" max="1281" width="5.42578125" style="158" customWidth="1"/>
    <col min="1282" max="1282" width="26.42578125" style="158" customWidth="1"/>
    <col min="1283" max="1283" width="7.42578125" style="158" customWidth="1"/>
    <col min="1284" max="1284" width="22.85546875" style="158" customWidth="1"/>
    <col min="1285" max="1285" width="12.5703125" style="158" customWidth="1"/>
    <col min="1286" max="1286" width="5.7109375" style="158" customWidth="1"/>
    <col min="1287" max="1287" width="15.140625" style="158" customWidth="1"/>
    <col min="1288" max="1306" width="0" style="158" hidden="1" customWidth="1"/>
    <col min="1307" max="1536" width="9.140625" style="158"/>
    <col min="1537" max="1537" width="5.42578125" style="158" customWidth="1"/>
    <col min="1538" max="1538" width="26.42578125" style="158" customWidth="1"/>
    <col min="1539" max="1539" width="7.42578125" style="158" customWidth="1"/>
    <col min="1540" max="1540" width="22.85546875" style="158" customWidth="1"/>
    <col min="1541" max="1541" width="12.5703125" style="158" customWidth="1"/>
    <col min="1542" max="1542" width="5.7109375" style="158" customWidth="1"/>
    <col min="1543" max="1543" width="15.140625" style="158" customWidth="1"/>
    <col min="1544" max="1562" width="0" style="158" hidden="1" customWidth="1"/>
    <col min="1563" max="1792" width="9.140625" style="158"/>
    <col min="1793" max="1793" width="5.42578125" style="158" customWidth="1"/>
    <col min="1794" max="1794" width="26.42578125" style="158" customWidth="1"/>
    <col min="1795" max="1795" width="7.42578125" style="158" customWidth="1"/>
    <col min="1796" max="1796" width="22.85546875" style="158" customWidth="1"/>
    <col min="1797" max="1797" width="12.5703125" style="158" customWidth="1"/>
    <col min="1798" max="1798" width="5.7109375" style="158" customWidth="1"/>
    <col min="1799" max="1799" width="15.140625" style="158" customWidth="1"/>
    <col min="1800" max="1818" width="0" style="158" hidden="1" customWidth="1"/>
    <col min="1819" max="2048" width="9.140625" style="158"/>
    <col min="2049" max="2049" width="5.42578125" style="158" customWidth="1"/>
    <col min="2050" max="2050" width="26.42578125" style="158" customWidth="1"/>
    <col min="2051" max="2051" width="7.42578125" style="158" customWidth="1"/>
    <col min="2052" max="2052" width="22.85546875" style="158" customWidth="1"/>
    <col min="2053" max="2053" width="12.5703125" style="158" customWidth="1"/>
    <col min="2054" max="2054" width="5.7109375" style="158" customWidth="1"/>
    <col min="2055" max="2055" width="15.140625" style="158" customWidth="1"/>
    <col min="2056" max="2074" width="0" style="158" hidden="1" customWidth="1"/>
    <col min="2075" max="2304" width="9.140625" style="158"/>
    <col min="2305" max="2305" width="5.42578125" style="158" customWidth="1"/>
    <col min="2306" max="2306" width="26.42578125" style="158" customWidth="1"/>
    <col min="2307" max="2307" width="7.42578125" style="158" customWidth="1"/>
    <col min="2308" max="2308" width="22.85546875" style="158" customWidth="1"/>
    <col min="2309" max="2309" width="12.5703125" style="158" customWidth="1"/>
    <col min="2310" max="2310" width="5.7109375" style="158" customWidth="1"/>
    <col min="2311" max="2311" width="15.140625" style="158" customWidth="1"/>
    <col min="2312" max="2330" width="0" style="158" hidden="1" customWidth="1"/>
    <col min="2331" max="2560" width="9.140625" style="158"/>
    <col min="2561" max="2561" width="5.42578125" style="158" customWidth="1"/>
    <col min="2562" max="2562" width="26.42578125" style="158" customWidth="1"/>
    <col min="2563" max="2563" width="7.42578125" style="158" customWidth="1"/>
    <col min="2564" max="2564" width="22.85546875" style="158" customWidth="1"/>
    <col min="2565" max="2565" width="12.5703125" style="158" customWidth="1"/>
    <col min="2566" max="2566" width="5.7109375" style="158" customWidth="1"/>
    <col min="2567" max="2567" width="15.140625" style="158" customWidth="1"/>
    <col min="2568" max="2586" width="0" style="158" hidden="1" customWidth="1"/>
    <col min="2587" max="2816" width="9.140625" style="158"/>
    <col min="2817" max="2817" width="5.42578125" style="158" customWidth="1"/>
    <col min="2818" max="2818" width="26.42578125" style="158" customWidth="1"/>
    <col min="2819" max="2819" width="7.42578125" style="158" customWidth="1"/>
    <col min="2820" max="2820" width="22.85546875" style="158" customWidth="1"/>
    <col min="2821" max="2821" width="12.5703125" style="158" customWidth="1"/>
    <col min="2822" max="2822" width="5.7109375" style="158" customWidth="1"/>
    <col min="2823" max="2823" width="15.140625" style="158" customWidth="1"/>
    <col min="2824" max="2842" width="0" style="158" hidden="1" customWidth="1"/>
    <col min="2843" max="3072" width="9.140625" style="158"/>
    <col min="3073" max="3073" width="5.42578125" style="158" customWidth="1"/>
    <col min="3074" max="3074" width="26.42578125" style="158" customWidth="1"/>
    <col min="3075" max="3075" width="7.42578125" style="158" customWidth="1"/>
    <col min="3076" max="3076" width="22.85546875" style="158" customWidth="1"/>
    <col min="3077" max="3077" width="12.5703125" style="158" customWidth="1"/>
    <col min="3078" max="3078" width="5.7109375" style="158" customWidth="1"/>
    <col min="3079" max="3079" width="15.140625" style="158" customWidth="1"/>
    <col min="3080" max="3098" width="0" style="158" hidden="1" customWidth="1"/>
    <col min="3099" max="3328" width="9.140625" style="158"/>
    <col min="3329" max="3329" width="5.42578125" style="158" customWidth="1"/>
    <col min="3330" max="3330" width="26.42578125" style="158" customWidth="1"/>
    <col min="3331" max="3331" width="7.42578125" style="158" customWidth="1"/>
    <col min="3332" max="3332" width="22.85546875" style="158" customWidth="1"/>
    <col min="3333" max="3333" width="12.5703125" style="158" customWidth="1"/>
    <col min="3334" max="3334" width="5.7109375" style="158" customWidth="1"/>
    <col min="3335" max="3335" width="15.140625" style="158" customWidth="1"/>
    <col min="3336" max="3354" width="0" style="158" hidden="1" customWidth="1"/>
    <col min="3355" max="3584" width="9.140625" style="158"/>
    <col min="3585" max="3585" width="5.42578125" style="158" customWidth="1"/>
    <col min="3586" max="3586" width="26.42578125" style="158" customWidth="1"/>
    <col min="3587" max="3587" width="7.42578125" style="158" customWidth="1"/>
    <col min="3588" max="3588" width="22.85546875" style="158" customWidth="1"/>
    <col min="3589" max="3589" width="12.5703125" style="158" customWidth="1"/>
    <col min="3590" max="3590" width="5.7109375" style="158" customWidth="1"/>
    <col min="3591" max="3591" width="15.140625" style="158" customWidth="1"/>
    <col min="3592" max="3610" width="0" style="158" hidden="1" customWidth="1"/>
    <col min="3611" max="3840" width="9.140625" style="158"/>
    <col min="3841" max="3841" width="5.42578125" style="158" customWidth="1"/>
    <col min="3842" max="3842" width="26.42578125" style="158" customWidth="1"/>
    <col min="3843" max="3843" width="7.42578125" style="158" customWidth="1"/>
    <col min="3844" max="3844" width="22.85546875" style="158" customWidth="1"/>
    <col min="3845" max="3845" width="12.5703125" style="158" customWidth="1"/>
    <col min="3846" max="3846" width="5.7109375" style="158" customWidth="1"/>
    <col min="3847" max="3847" width="15.140625" style="158" customWidth="1"/>
    <col min="3848" max="3866" width="0" style="158" hidden="1" customWidth="1"/>
    <col min="3867" max="4096" width="9.140625" style="158"/>
    <col min="4097" max="4097" width="5.42578125" style="158" customWidth="1"/>
    <col min="4098" max="4098" width="26.42578125" style="158" customWidth="1"/>
    <col min="4099" max="4099" width="7.42578125" style="158" customWidth="1"/>
    <col min="4100" max="4100" width="22.85546875" style="158" customWidth="1"/>
    <col min="4101" max="4101" width="12.5703125" style="158" customWidth="1"/>
    <col min="4102" max="4102" width="5.7109375" style="158" customWidth="1"/>
    <col min="4103" max="4103" width="15.140625" style="158" customWidth="1"/>
    <col min="4104" max="4122" width="0" style="158" hidden="1" customWidth="1"/>
    <col min="4123" max="4352" width="9.140625" style="158"/>
    <col min="4353" max="4353" width="5.42578125" style="158" customWidth="1"/>
    <col min="4354" max="4354" width="26.42578125" style="158" customWidth="1"/>
    <col min="4355" max="4355" width="7.42578125" style="158" customWidth="1"/>
    <col min="4356" max="4356" width="22.85546875" style="158" customWidth="1"/>
    <col min="4357" max="4357" width="12.5703125" style="158" customWidth="1"/>
    <col min="4358" max="4358" width="5.7109375" style="158" customWidth="1"/>
    <col min="4359" max="4359" width="15.140625" style="158" customWidth="1"/>
    <col min="4360" max="4378" width="0" style="158" hidden="1" customWidth="1"/>
    <col min="4379" max="4608" width="9.140625" style="158"/>
    <col min="4609" max="4609" width="5.42578125" style="158" customWidth="1"/>
    <col min="4610" max="4610" width="26.42578125" style="158" customWidth="1"/>
    <col min="4611" max="4611" width="7.42578125" style="158" customWidth="1"/>
    <col min="4612" max="4612" width="22.85546875" style="158" customWidth="1"/>
    <col min="4613" max="4613" width="12.5703125" style="158" customWidth="1"/>
    <col min="4614" max="4614" width="5.7109375" style="158" customWidth="1"/>
    <col min="4615" max="4615" width="15.140625" style="158" customWidth="1"/>
    <col min="4616" max="4634" width="0" style="158" hidden="1" customWidth="1"/>
    <col min="4635" max="4864" width="9.140625" style="158"/>
    <col min="4865" max="4865" width="5.42578125" style="158" customWidth="1"/>
    <col min="4866" max="4866" width="26.42578125" style="158" customWidth="1"/>
    <col min="4867" max="4867" width="7.42578125" style="158" customWidth="1"/>
    <col min="4868" max="4868" width="22.85546875" style="158" customWidth="1"/>
    <col min="4869" max="4869" width="12.5703125" style="158" customWidth="1"/>
    <col min="4870" max="4870" width="5.7109375" style="158" customWidth="1"/>
    <col min="4871" max="4871" width="15.140625" style="158" customWidth="1"/>
    <col min="4872" max="4890" width="0" style="158" hidden="1" customWidth="1"/>
    <col min="4891" max="5120" width="9.140625" style="158"/>
    <col min="5121" max="5121" width="5.42578125" style="158" customWidth="1"/>
    <col min="5122" max="5122" width="26.42578125" style="158" customWidth="1"/>
    <col min="5123" max="5123" width="7.42578125" style="158" customWidth="1"/>
    <col min="5124" max="5124" width="22.85546875" style="158" customWidth="1"/>
    <col min="5125" max="5125" width="12.5703125" style="158" customWidth="1"/>
    <col min="5126" max="5126" width="5.7109375" style="158" customWidth="1"/>
    <col min="5127" max="5127" width="15.140625" style="158" customWidth="1"/>
    <col min="5128" max="5146" width="0" style="158" hidden="1" customWidth="1"/>
    <col min="5147" max="5376" width="9.140625" style="158"/>
    <col min="5377" max="5377" width="5.42578125" style="158" customWidth="1"/>
    <col min="5378" max="5378" width="26.42578125" style="158" customWidth="1"/>
    <col min="5379" max="5379" width="7.42578125" style="158" customWidth="1"/>
    <col min="5380" max="5380" width="22.85546875" style="158" customWidth="1"/>
    <col min="5381" max="5381" width="12.5703125" style="158" customWidth="1"/>
    <col min="5382" max="5382" width="5.7109375" style="158" customWidth="1"/>
    <col min="5383" max="5383" width="15.140625" style="158" customWidth="1"/>
    <col min="5384" max="5402" width="0" style="158" hidden="1" customWidth="1"/>
    <col min="5403" max="5632" width="9.140625" style="158"/>
    <col min="5633" max="5633" width="5.42578125" style="158" customWidth="1"/>
    <col min="5634" max="5634" width="26.42578125" style="158" customWidth="1"/>
    <col min="5635" max="5635" width="7.42578125" style="158" customWidth="1"/>
    <col min="5636" max="5636" width="22.85546875" style="158" customWidth="1"/>
    <col min="5637" max="5637" width="12.5703125" style="158" customWidth="1"/>
    <col min="5638" max="5638" width="5.7109375" style="158" customWidth="1"/>
    <col min="5639" max="5639" width="15.140625" style="158" customWidth="1"/>
    <col min="5640" max="5658" width="0" style="158" hidden="1" customWidth="1"/>
    <col min="5659" max="5888" width="9.140625" style="158"/>
    <col min="5889" max="5889" width="5.42578125" style="158" customWidth="1"/>
    <col min="5890" max="5890" width="26.42578125" style="158" customWidth="1"/>
    <col min="5891" max="5891" width="7.42578125" style="158" customWidth="1"/>
    <col min="5892" max="5892" width="22.85546875" style="158" customWidth="1"/>
    <col min="5893" max="5893" width="12.5703125" style="158" customWidth="1"/>
    <col min="5894" max="5894" width="5.7109375" style="158" customWidth="1"/>
    <col min="5895" max="5895" width="15.140625" style="158" customWidth="1"/>
    <col min="5896" max="5914" width="0" style="158" hidden="1" customWidth="1"/>
    <col min="5915" max="6144" width="9.140625" style="158"/>
    <col min="6145" max="6145" width="5.42578125" style="158" customWidth="1"/>
    <col min="6146" max="6146" width="26.42578125" style="158" customWidth="1"/>
    <col min="6147" max="6147" width="7.42578125" style="158" customWidth="1"/>
    <col min="6148" max="6148" width="22.85546875" style="158" customWidth="1"/>
    <col min="6149" max="6149" width="12.5703125" style="158" customWidth="1"/>
    <col min="6150" max="6150" width="5.7109375" style="158" customWidth="1"/>
    <col min="6151" max="6151" width="15.140625" style="158" customWidth="1"/>
    <col min="6152" max="6170" width="0" style="158" hidden="1" customWidth="1"/>
    <col min="6171" max="6400" width="9.140625" style="158"/>
    <col min="6401" max="6401" width="5.42578125" style="158" customWidth="1"/>
    <col min="6402" max="6402" width="26.42578125" style="158" customWidth="1"/>
    <col min="6403" max="6403" width="7.42578125" style="158" customWidth="1"/>
    <col min="6404" max="6404" width="22.85546875" style="158" customWidth="1"/>
    <col min="6405" max="6405" width="12.5703125" style="158" customWidth="1"/>
    <col min="6406" max="6406" width="5.7109375" style="158" customWidth="1"/>
    <col min="6407" max="6407" width="15.140625" style="158" customWidth="1"/>
    <col min="6408" max="6426" width="0" style="158" hidden="1" customWidth="1"/>
    <col min="6427" max="6656" width="9.140625" style="158"/>
    <col min="6657" max="6657" width="5.42578125" style="158" customWidth="1"/>
    <col min="6658" max="6658" width="26.42578125" style="158" customWidth="1"/>
    <col min="6659" max="6659" width="7.42578125" style="158" customWidth="1"/>
    <col min="6660" max="6660" width="22.85546875" style="158" customWidth="1"/>
    <col min="6661" max="6661" width="12.5703125" style="158" customWidth="1"/>
    <col min="6662" max="6662" width="5.7109375" style="158" customWidth="1"/>
    <col min="6663" max="6663" width="15.140625" style="158" customWidth="1"/>
    <col min="6664" max="6682" width="0" style="158" hidden="1" customWidth="1"/>
    <col min="6683" max="6912" width="9.140625" style="158"/>
    <col min="6913" max="6913" width="5.42578125" style="158" customWidth="1"/>
    <col min="6914" max="6914" width="26.42578125" style="158" customWidth="1"/>
    <col min="6915" max="6915" width="7.42578125" style="158" customWidth="1"/>
    <col min="6916" max="6916" width="22.85546875" style="158" customWidth="1"/>
    <col min="6917" max="6917" width="12.5703125" style="158" customWidth="1"/>
    <col min="6918" max="6918" width="5.7109375" style="158" customWidth="1"/>
    <col min="6919" max="6919" width="15.140625" style="158" customWidth="1"/>
    <col min="6920" max="6938" width="0" style="158" hidden="1" customWidth="1"/>
    <col min="6939" max="7168" width="9.140625" style="158"/>
    <col min="7169" max="7169" width="5.42578125" style="158" customWidth="1"/>
    <col min="7170" max="7170" width="26.42578125" style="158" customWidth="1"/>
    <col min="7171" max="7171" width="7.42578125" style="158" customWidth="1"/>
    <col min="7172" max="7172" width="22.85546875" style="158" customWidth="1"/>
    <col min="7173" max="7173" width="12.5703125" style="158" customWidth="1"/>
    <col min="7174" max="7174" width="5.7109375" style="158" customWidth="1"/>
    <col min="7175" max="7175" width="15.140625" style="158" customWidth="1"/>
    <col min="7176" max="7194" width="0" style="158" hidden="1" customWidth="1"/>
    <col min="7195" max="7424" width="9.140625" style="158"/>
    <col min="7425" max="7425" width="5.42578125" style="158" customWidth="1"/>
    <col min="7426" max="7426" width="26.42578125" style="158" customWidth="1"/>
    <col min="7427" max="7427" width="7.42578125" style="158" customWidth="1"/>
    <col min="7428" max="7428" width="22.85546875" style="158" customWidth="1"/>
    <col min="7429" max="7429" width="12.5703125" style="158" customWidth="1"/>
    <col min="7430" max="7430" width="5.7109375" style="158" customWidth="1"/>
    <col min="7431" max="7431" width="15.140625" style="158" customWidth="1"/>
    <col min="7432" max="7450" width="0" style="158" hidden="1" customWidth="1"/>
    <col min="7451" max="7680" width="9.140625" style="158"/>
    <col min="7681" max="7681" width="5.42578125" style="158" customWidth="1"/>
    <col min="7682" max="7682" width="26.42578125" style="158" customWidth="1"/>
    <col min="7683" max="7683" width="7.42578125" style="158" customWidth="1"/>
    <col min="7684" max="7684" width="22.85546875" style="158" customWidth="1"/>
    <col min="7685" max="7685" width="12.5703125" style="158" customWidth="1"/>
    <col min="7686" max="7686" width="5.7109375" style="158" customWidth="1"/>
    <col min="7687" max="7687" width="15.140625" style="158" customWidth="1"/>
    <col min="7688" max="7706" width="0" style="158" hidden="1" customWidth="1"/>
    <col min="7707" max="7936" width="9.140625" style="158"/>
    <col min="7937" max="7937" width="5.42578125" style="158" customWidth="1"/>
    <col min="7938" max="7938" width="26.42578125" style="158" customWidth="1"/>
    <col min="7939" max="7939" width="7.42578125" style="158" customWidth="1"/>
    <col min="7940" max="7940" width="22.85546875" style="158" customWidth="1"/>
    <col min="7941" max="7941" width="12.5703125" style="158" customWidth="1"/>
    <col min="7942" max="7942" width="5.7109375" style="158" customWidth="1"/>
    <col min="7943" max="7943" width="15.140625" style="158" customWidth="1"/>
    <col min="7944" max="7962" width="0" style="158" hidden="1" customWidth="1"/>
    <col min="7963" max="8192" width="9.140625" style="158"/>
    <col min="8193" max="8193" width="5.42578125" style="158" customWidth="1"/>
    <col min="8194" max="8194" width="26.42578125" style="158" customWidth="1"/>
    <col min="8195" max="8195" width="7.42578125" style="158" customWidth="1"/>
    <col min="8196" max="8196" width="22.85546875" style="158" customWidth="1"/>
    <col min="8197" max="8197" width="12.5703125" style="158" customWidth="1"/>
    <col min="8198" max="8198" width="5.7109375" style="158" customWidth="1"/>
    <col min="8199" max="8199" width="15.140625" style="158" customWidth="1"/>
    <col min="8200" max="8218" width="0" style="158" hidden="1" customWidth="1"/>
    <col min="8219" max="8448" width="9.140625" style="158"/>
    <col min="8449" max="8449" width="5.42578125" style="158" customWidth="1"/>
    <col min="8450" max="8450" width="26.42578125" style="158" customWidth="1"/>
    <col min="8451" max="8451" width="7.42578125" style="158" customWidth="1"/>
    <col min="8452" max="8452" width="22.85546875" style="158" customWidth="1"/>
    <col min="8453" max="8453" width="12.5703125" style="158" customWidth="1"/>
    <col min="8454" max="8454" width="5.7109375" style="158" customWidth="1"/>
    <col min="8455" max="8455" width="15.140625" style="158" customWidth="1"/>
    <col min="8456" max="8474" width="0" style="158" hidden="1" customWidth="1"/>
    <col min="8475" max="8704" width="9.140625" style="158"/>
    <col min="8705" max="8705" width="5.42578125" style="158" customWidth="1"/>
    <col min="8706" max="8706" width="26.42578125" style="158" customWidth="1"/>
    <col min="8707" max="8707" width="7.42578125" style="158" customWidth="1"/>
    <col min="8708" max="8708" width="22.85546875" style="158" customWidth="1"/>
    <col min="8709" max="8709" width="12.5703125" style="158" customWidth="1"/>
    <col min="8710" max="8710" width="5.7109375" style="158" customWidth="1"/>
    <col min="8711" max="8711" width="15.140625" style="158" customWidth="1"/>
    <col min="8712" max="8730" width="0" style="158" hidden="1" customWidth="1"/>
    <col min="8731" max="8960" width="9.140625" style="158"/>
    <col min="8961" max="8961" width="5.42578125" style="158" customWidth="1"/>
    <col min="8962" max="8962" width="26.42578125" style="158" customWidth="1"/>
    <col min="8963" max="8963" width="7.42578125" style="158" customWidth="1"/>
    <col min="8964" max="8964" width="22.85546875" style="158" customWidth="1"/>
    <col min="8965" max="8965" width="12.5703125" style="158" customWidth="1"/>
    <col min="8966" max="8966" width="5.7109375" style="158" customWidth="1"/>
    <col min="8967" max="8967" width="15.140625" style="158" customWidth="1"/>
    <col min="8968" max="8986" width="0" style="158" hidden="1" customWidth="1"/>
    <col min="8987" max="9216" width="9.140625" style="158"/>
    <col min="9217" max="9217" width="5.42578125" style="158" customWidth="1"/>
    <col min="9218" max="9218" width="26.42578125" style="158" customWidth="1"/>
    <col min="9219" max="9219" width="7.42578125" style="158" customWidth="1"/>
    <col min="9220" max="9220" width="22.85546875" style="158" customWidth="1"/>
    <col min="9221" max="9221" width="12.5703125" style="158" customWidth="1"/>
    <col min="9222" max="9222" width="5.7109375" style="158" customWidth="1"/>
    <col min="9223" max="9223" width="15.140625" style="158" customWidth="1"/>
    <col min="9224" max="9242" width="0" style="158" hidden="1" customWidth="1"/>
    <col min="9243" max="9472" width="9.140625" style="158"/>
    <col min="9473" max="9473" width="5.42578125" style="158" customWidth="1"/>
    <col min="9474" max="9474" width="26.42578125" style="158" customWidth="1"/>
    <col min="9475" max="9475" width="7.42578125" style="158" customWidth="1"/>
    <col min="9476" max="9476" width="22.85546875" style="158" customWidth="1"/>
    <col min="9477" max="9477" width="12.5703125" style="158" customWidth="1"/>
    <col min="9478" max="9478" width="5.7109375" style="158" customWidth="1"/>
    <col min="9479" max="9479" width="15.140625" style="158" customWidth="1"/>
    <col min="9480" max="9498" width="0" style="158" hidden="1" customWidth="1"/>
    <col min="9499" max="9728" width="9.140625" style="158"/>
    <col min="9729" max="9729" width="5.42578125" style="158" customWidth="1"/>
    <col min="9730" max="9730" width="26.42578125" style="158" customWidth="1"/>
    <col min="9731" max="9731" width="7.42578125" style="158" customWidth="1"/>
    <col min="9732" max="9732" width="22.85546875" style="158" customWidth="1"/>
    <col min="9733" max="9733" width="12.5703125" style="158" customWidth="1"/>
    <col min="9734" max="9734" width="5.7109375" style="158" customWidth="1"/>
    <col min="9735" max="9735" width="15.140625" style="158" customWidth="1"/>
    <col min="9736" max="9754" width="0" style="158" hidden="1" customWidth="1"/>
    <col min="9755" max="9984" width="9.140625" style="158"/>
    <col min="9985" max="9985" width="5.42578125" style="158" customWidth="1"/>
    <col min="9986" max="9986" width="26.42578125" style="158" customWidth="1"/>
    <col min="9987" max="9987" width="7.42578125" style="158" customWidth="1"/>
    <col min="9988" max="9988" width="22.85546875" style="158" customWidth="1"/>
    <col min="9989" max="9989" width="12.5703125" style="158" customWidth="1"/>
    <col min="9990" max="9990" width="5.7109375" style="158" customWidth="1"/>
    <col min="9991" max="9991" width="15.140625" style="158" customWidth="1"/>
    <col min="9992" max="10010" width="0" style="158" hidden="1" customWidth="1"/>
    <col min="10011" max="10240" width="9.140625" style="158"/>
    <col min="10241" max="10241" width="5.42578125" style="158" customWidth="1"/>
    <col min="10242" max="10242" width="26.42578125" style="158" customWidth="1"/>
    <col min="10243" max="10243" width="7.42578125" style="158" customWidth="1"/>
    <col min="10244" max="10244" width="22.85546875" style="158" customWidth="1"/>
    <col min="10245" max="10245" width="12.5703125" style="158" customWidth="1"/>
    <col min="10246" max="10246" width="5.7109375" style="158" customWidth="1"/>
    <col min="10247" max="10247" width="15.140625" style="158" customWidth="1"/>
    <col min="10248" max="10266" width="0" style="158" hidden="1" customWidth="1"/>
    <col min="10267" max="10496" width="9.140625" style="158"/>
    <col min="10497" max="10497" width="5.42578125" style="158" customWidth="1"/>
    <col min="10498" max="10498" width="26.42578125" style="158" customWidth="1"/>
    <col min="10499" max="10499" width="7.42578125" style="158" customWidth="1"/>
    <col min="10500" max="10500" width="22.85546875" style="158" customWidth="1"/>
    <col min="10501" max="10501" width="12.5703125" style="158" customWidth="1"/>
    <col min="10502" max="10502" width="5.7109375" style="158" customWidth="1"/>
    <col min="10503" max="10503" width="15.140625" style="158" customWidth="1"/>
    <col min="10504" max="10522" width="0" style="158" hidden="1" customWidth="1"/>
    <col min="10523" max="10752" width="9.140625" style="158"/>
    <col min="10753" max="10753" width="5.42578125" style="158" customWidth="1"/>
    <col min="10754" max="10754" width="26.42578125" style="158" customWidth="1"/>
    <col min="10755" max="10755" width="7.42578125" style="158" customWidth="1"/>
    <col min="10756" max="10756" width="22.85546875" style="158" customWidth="1"/>
    <col min="10757" max="10757" width="12.5703125" style="158" customWidth="1"/>
    <col min="10758" max="10758" width="5.7109375" style="158" customWidth="1"/>
    <col min="10759" max="10759" width="15.140625" style="158" customWidth="1"/>
    <col min="10760" max="10778" width="0" style="158" hidden="1" customWidth="1"/>
    <col min="10779" max="11008" width="9.140625" style="158"/>
    <col min="11009" max="11009" width="5.42578125" style="158" customWidth="1"/>
    <col min="11010" max="11010" width="26.42578125" style="158" customWidth="1"/>
    <col min="11011" max="11011" width="7.42578125" style="158" customWidth="1"/>
    <col min="11012" max="11012" width="22.85546875" style="158" customWidth="1"/>
    <col min="11013" max="11013" width="12.5703125" style="158" customWidth="1"/>
    <col min="11014" max="11014" width="5.7109375" style="158" customWidth="1"/>
    <col min="11015" max="11015" width="15.140625" style="158" customWidth="1"/>
    <col min="11016" max="11034" width="0" style="158" hidden="1" customWidth="1"/>
    <col min="11035" max="11264" width="9.140625" style="158"/>
    <col min="11265" max="11265" width="5.42578125" style="158" customWidth="1"/>
    <col min="11266" max="11266" width="26.42578125" style="158" customWidth="1"/>
    <col min="11267" max="11267" width="7.42578125" style="158" customWidth="1"/>
    <col min="11268" max="11268" width="22.85546875" style="158" customWidth="1"/>
    <col min="11269" max="11269" width="12.5703125" style="158" customWidth="1"/>
    <col min="11270" max="11270" width="5.7109375" style="158" customWidth="1"/>
    <col min="11271" max="11271" width="15.140625" style="158" customWidth="1"/>
    <col min="11272" max="11290" width="0" style="158" hidden="1" customWidth="1"/>
    <col min="11291" max="11520" width="9.140625" style="158"/>
    <col min="11521" max="11521" width="5.42578125" style="158" customWidth="1"/>
    <col min="11522" max="11522" width="26.42578125" style="158" customWidth="1"/>
    <col min="11523" max="11523" width="7.42578125" style="158" customWidth="1"/>
    <col min="11524" max="11524" width="22.85546875" style="158" customWidth="1"/>
    <col min="11525" max="11525" width="12.5703125" style="158" customWidth="1"/>
    <col min="11526" max="11526" width="5.7109375" style="158" customWidth="1"/>
    <col min="11527" max="11527" width="15.140625" style="158" customWidth="1"/>
    <col min="11528" max="11546" width="0" style="158" hidden="1" customWidth="1"/>
    <col min="11547" max="11776" width="9.140625" style="158"/>
    <col min="11777" max="11777" width="5.42578125" style="158" customWidth="1"/>
    <col min="11778" max="11778" width="26.42578125" style="158" customWidth="1"/>
    <col min="11779" max="11779" width="7.42578125" style="158" customWidth="1"/>
    <col min="11780" max="11780" width="22.85546875" style="158" customWidth="1"/>
    <col min="11781" max="11781" width="12.5703125" style="158" customWidth="1"/>
    <col min="11782" max="11782" width="5.7109375" style="158" customWidth="1"/>
    <col min="11783" max="11783" width="15.140625" style="158" customWidth="1"/>
    <col min="11784" max="11802" width="0" style="158" hidden="1" customWidth="1"/>
    <col min="11803" max="12032" width="9.140625" style="158"/>
    <col min="12033" max="12033" width="5.42578125" style="158" customWidth="1"/>
    <col min="12034" max="12034" width="26.42578125" style="158" customWidth="1"/>
    <col min="12035" max="12035" width="7.42578125" style="158" customWidth="1"/>
    <col min="12036" max="12036" width="22.85546875" style="158" customWidth="1"/>
    <col min="12037" max="12037" width="12.5703125" style="158" customWidth="1"/>
    <col min="12038" max="12038" width="5.7109375" style="158" customWidth="1"/>
    <col min="12039" max="12039" width="15.140625" style="158" customWidth="1"/>
    <col min="12040" max="12058" width="0" style="158" hidden="1" customWidth="1"/>
    <col min="12059" max="12288" width="9.140625" style="158"/>
    <col min="12289" max="12289" width="5.42578125" style="158" customWidth="1"/>
    <col min="12290" max="12290" width="26.42578125" style="158" customWidth="1"/>
    <col min="12291" max="12291" width="7.42578125" style="158" customWidth="1"/>
    <col min="12292" max="12292" width="22.85546875" style="158" customWidth="1"/>
    <col min="12293" max="12293" width="12.5703125" style="158" customWidth="1"/>
    <col min="12294" max="12294" width="5.7109375" style="158" customWidth="1"/>
    <col min="12295" max="12295" width="15.140625" style="158" customWidth="1"/>
    <col min="12296" max="12314" width="0" style="158" hidden="1" customWidth="1"/>
    <col min="12315" max="12544" width="9.140625" style="158"/>
    <col min="12545" max="12545" width="5.42578125" style="158" customWidth="1"/>
    <col min="12546" max="12546" width="26.42578125" style="158" customWidth="1"/>
    <col min="12547" max="12547" width="7.42578125" style="158" customWidth="1"/>
    <col min="12548" max="12548" width="22.85546875" style="158" customWidth="1"/>
    <col min="12549" max="12549" width="12.5703125" style="158" customWidth="1"/>
    <col min="12550" max="12550" width="5.7109375" style="158" customWidth="1"/>
    <col min="12551" max="12551" width="15.140625" style="158" customWidth="1"/>
    <col min="12552" max="12570" width="0" style="158" hidden="1" customWidth="1"/>
    <col min="12571" max="12800" width="9.140625" style="158"/>
    <col min="12801" max="12801" width="5.42578125" style="158" customWidth="1"/>
    <col min="12802" max="12802" width="26.42578125" style="158" customWidth="1"/>
    <col min="12803" max="12803" width="7.42578125" style="158" customWidth="1"/>
    <col min="12804" max="12804" width="22.85546875" style="158" customWidth="1"/>
    <col min="12805" max="12805" width="12.5703125" style="158" customWidth="1"/>
    <col min="12806" max="12806" width="5.7109375" style="158" customWidth="1"/>
    <col min="12807" max="12807" width="15.140625" style="158" customWidth="1"/>
    <col min="12808" max="12826" width="0" style="158" hidden="1" customWidth="1"/>
    <col min="12827" max="13056" width="9.140625" style="158"/>
    <col min="13057" max="13057" width="5.42578125" style="158" customWidth="1"/>
    <col min="13058" max="13058" width="26.42578125" style="158" customWidth="1"/>
    <col min="13059" max="13059" width="7.42578125" style="158" customWidth="1"/>
    <col min="13060" max="13060" width="22.85546875" style="158" customWidth="1"/>
    <col min="13061" max="13061" width="12.5703125" style="158" customWidth="1"/>
    <col min="13062" max="13062" width="5.7109375" style="158" customWidth="1"/>
    <col min="13063" max="13063" width="15.140625" style="158" customWidth="1"/>
    <col min="13064" max="13082" width="0" style="158" hidden="1" customWidth="1"/>
    <col min="13083" max="13312" width="9.140625" style="158"/>
    <col min="13313" max="13313" width="5.42578125" style="158" customWidth="1"/>
    <col min="13314" max="13314" width="26.42578125" style="158" customWidth="1"/>
    <col min="13315" max="13315" width="7.42578125" style="158" customWidth="1"/>
    <col min="13316" max="13316" width="22.85546875" style="158" customWidth="1"/>
    <col min="13317" max="13317" width="12.5703125" style="158" customWidth="1"/>
    <col min="13318" max="13318" width="5.7109375" style="158" customWidth="1"/>
    <col min="13319" max="13319" width="15.140625" style="158" customWidth="1"/>
    <col min="13320" max="13338" width="0" style="158" hidden="1" customWidth="1"/>
    <col min="13339" max="13568" width="9.140625" style="158"/>
    <col min="13569" max="13569" width="5.42578125" style="158" customWidth="1"/>
    <col min="13570" max="13570" width="26.42578125" style="158" customWidth="1"/>
    <col min="13571" max="13571" width="7.42578125" style="158" customWidth="1"/>
    <col min="13572" max="13572" width="22.85546875" style="158" customWidth="1"/>
    <col min="13573" max="13573" width="12.5703125" style="158" customWidth="1"/>
    <col min="13574" max="13574" width="5.7109375" style="158" customWidth="1"/>
    <col min="13575" max="13575" width="15.140625" style="158" customWidth="1"/>
    <col min="13576" max="13594" width="0" style="158" hidden="1" customWidth="1"/>
    <col min="13595" max="13824" width="9.140625" style="158"/>
    <col min="13825" max="13825" width="5.42578125" style="158" customWidth="1"/>
    <col min="13826" max="13826" width="26.42578125" style="158" customWidth="1"/>
    <col min="13827" max="13827" width="7.42578125" style="158" customWidth="1"/>
    <col min="13828" max="13828" width="22.85546875" style="158" customWidth="1"/>
    <col min="13829" max="13829" width="12.5703125" style="158" customWidth="1"/>
    <col min="13830" max="13830" width="5.7109375" style="158" customWidth="1"/>
    <col min="13831" max="13831" width="15.140625" style="158" customWidth="1"/>
    <col min="13832" max="13850" width="0" style="158" hidden="1" customWidth="1"/>
    <col min="13851" max="14080" width="9.140625" style="158"/>
    <col min="14081" max="14081" width="5.42578125" style="158" customWidth="1"/>
    <col min="14082" max="14082" width="26.42578125" style="158" customWidth="1"/>
    <col min="14083" max="14083" width="7.42578125" style="158" customWidth="1"/>
    <col min="14084" max="14084" width="22.85546875" style="158" customWidth="1"/>
    <col min="14085" max="14085" width="12.5703125" style="158" customWidth="1"/>
    <col min="14086" max="14086" width="5.7109375" style="158" customWidth="1"/>
    <col min="14087" max="14087" width="15.140625" style="158" customWidth="1"/>
    <col min="14088" max="14106" width="0" style="158" hidden="1" customWidth="1"/>
    <col min="14107" max="14336" width="9.140625" style="158"/>
    <col min="14337" max="14337" width="5.42578125" style="158" customWidth="1"/>
    <col min="14338" max="14338" width="26.42578125" style="158" customWidth="1"/>
    <col min="14339" max="14339" width="7.42578125" style="158" customWidth="1"/>
    <col min="14340" max="14340" width="22.85546875" style="158" customWidth="1"/>
    <col min="14341" max="14341" width="12.5703125" style="158" customWidth="1"/>
    <col min="14342" max="14342" width="5.7109375" style="158" customWidth="1"/>
    <col min="14343" max="14343" width="15.140625" style="158" customWidth="1"/>
    <col min="14344" max="14362" width="0" style="158" hidden="1" customWidth="1"/>
    <col min="14363" max="14592" width="9.140625" style="158"/>
    <col min="14593" max="14593" width="5.42578125" style="158" customWidth="1"/>
    <col min="14594" max="14594" width="26.42578125" style="158" customWidth="1"/>
    <col min="14595" max="14595" width="7.42578125" style="158" customWidth="1"/>
    <col min="14596" max="14596" width="22.85546875" style="158" customWidth="1"/>
    <col min="14597" max="14597" width="12.5703125" style="158" customWidth="1"/>
    <col min="14598" max="14598" width="5.7109375" style="158" customWidth="1"/>
    <col min="14599" max="14599" width="15.140625" style="158" customWidth="1"/>
    <col min="14600" max="14618" width="0" style="158" hidden="1" customWidth="1"/>
    <col min="14619" max="14848" width="9.140625" style="158"/>
    <col min="14849" max="14849" width="5.42578125" style="158" customWidth="1"/>
    <col min="14850" max="14850" width="26.42578125" style="158" customWidth="1"/>
    <col min="14851" max="14851" width="7.42578125" style="158" customWidth="1"/>
    <col min="14852" max="14852" width="22.85546875" style="158" customWidth="1"/>
    <col min="14853" max="14853" width="12.5703125" style="158" customWidth="1"/>
    <col min="14854" max="14854" width="5.7109375" style="158" customWidth="1"/>
    <col min="14855" max="14855" width="15.140625" style="158" customWidth="1"/>
    <col min="14856" max="14874" width="0" style="158" hidden="1" customWidth="1"/>
    <col min="14875" max="15104" width="9.140625" style="158"/>
    <col min="15105" max="15105" width="5.42578125" style="158" customWidth="1"/>
    <col min="15106" max="15106" width="26.42578125" style="158" customWidth="1"/>
    <col min="15107" max="15107" width="7.42578125" style="158" customWidth="1"/>
    <col min="15108" max="15108" width="22.85546875" style="158" customWidth="1"/>
    <col min="15109" max="15109" width="12.5703125" style="158" customWidth="1"/>
    <col min="15110" max="15110" width="5.7109375" style="158" customWidth="1"/>
    <col min="15111" max="15111" width="15.140625" style="158" customWidth="1"/>
    <col min="15112" max="15130" width="0" style="158" hidden="1" customWidth="1"/>
    <col min="15131" max="15360" width="9.140625" style="158"/>
    <col min="15361" max="15361" width="5.42578125" style="158" customWidth="1"/>
    <col min="15362" max="15362" width="26.42578125" style="158" customWidth="1"/>
    <col min="15363" max="15363" width="7.42578125" style="158" customWidth="1"/>
    <col min="15364" max="15364" width="22.85546875" style="158" customWidth="1"/>
    <col min="15365" max="15365" width="12.5703125" style="158" customWidth="1"/>
    <col min="15366" max="15366" width="5.7109375" style="158" customWidth="1"/>
    <col min="15367" max="15367" width="15.140625" style="158" customWidth="1"/>
    <col min="15368" max="15386" width="0" style="158" hidden="1" customWidth="1"/>
    <col min="15387" max="15616" width="9.140625" style="158"/>
    <col min="15617" max="15617" width="5.42578125" style="158" customWidth="1"/>
    <col min="15618" max="15618" width="26.42578125" style="158" customWidth="1"/>
    <col min="15619" max="15619" width="7.42578125" style="158" customWidth="1"/>
    <col min="15620" max="15620" width="22.85546875" style="158" customWidth="1"/>
    <col min="15621" max="15621" width="12.5703125" style="158" customWidth="1"/>
    <col min="15622" max="15622" width="5.7109375" style="158" customWidth="1"/>
    <col min="15623" max="15623" width="15.140625" style="158" customWidth="1"/>
    <col min="15624" max="15642" width="0" style="158" hidden="1" customWidth="1"/>
    <col min="15643" max="15872" width="9.140625" style="158"/>
    <col min="15873" max="15873" width="5.42578125" style="158" customWidth="1"/>
    <col min="15874" max="15874" width="26.42578125" style="158" customWidth="1"/>
    <col min="15875" max="15875" width="7.42578125" style="158" customWidth="1"/>
    <col min="15876" max="15876" width="22.85546875" style="158" customWidth="1"/>
    <col min="15877" max="15877" width="12.5703125" style="158" customWidth="1"/>
    <col min="15878" max="15878" width="5.7109375" style="158" customWidth="1"/>
    <col min="15879" max="15879" width="15.140625" style="158" customWidth="1"/>
    <col min="15880" max="15898" width="0" style="158" hidden="1" customWidth="1"/>
    <col min="15899" max="16128" width="9.140625" style="158"/>
    <col min="16129" max="16129" width="5.42578125" style="158" customWidth="1"/>
    <col min="16130" max="16130" width="26.42578125" style="158" customWidth="1"/>
    <col min="16131" max="16131" width="7.42578125" style="158" customWidth="1"/>
    <col min="16132" max="16132" width="22.85546875" style="158" customWidth="1"/>
    <col min="16133" max="16133" width="12.5703125" style="158" customWidth="1"/>
    <col min="16134" max="16134" width="5.7109375" style="158" customWidth="1"/>
    <col min="16135" max="16135" width="15.140625" style="158" customWidth="1"/>
    <col min="16136" max="16154" width="0" style="158" hidden="1" customWidth="1"/>
    <col min="16155" max="16384" width="9.140625" style="158"/>
  </cols>
  <sheetData>
    <row r="1" spans="1:16" s="17" customFormat="1" ht="18.75" x14ac:dyDescent="0.3">
      <c r="A1" s="479" t="s">
        <v>225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146"/>
    </row>
    <row r="2" spans="1:16" s="17" customFormat="1" x14ac:dyDescent="0.25">
      <c r="A2" s="401" t="s">
        <v>63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146"/>
    </row>
    <row r="3" spans="1:16" s="17" customFormat="1" x14ac:dyDescent="0.25">
      <c r="A3" s="401" t="s">
        <v>226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146"/>
    </row>
    <row r="4" spans="1:16" s="17" customFormat="1" ht="9.75" customHeight="1" x14ac:dyDescent="0.25">
      <c r="A4" s="147"/>
      <c r="B4" s="147"/>
      <c r="C4" s="147"/>
      <c r="D4" s="147"/>
      <c r="E4" s="147"/>
      <c r="F4" s="147"/>
      <c r="G4" s="147"/>
    </row>
    <row r="5" spans="1:16" s="17" customFormat="1" ht="14.45" customHeight="1" x14ac:dyDescent="0.25">
      <c r="A5" s="458" t="s">
        <v>65</v>
      </c>
      <c r="B5" s="458"/>
      <c r="C5" s="480" t="s">
        <v>66</v>
      </c>
      <c r="D5" s="480"/>
      <c r="E5" s="480"/>
      <c r="F5" s="480"/>
      <c r="G5" s="480"/>
      <c r="H5" s="480"/>
      <c r="I5" s="480"/>
      <c r="J5" s="480"/>
      <c r="K5" s="480"/>
      <c r="L5" s="480"/>
      <c r="M5" s="480"/>
    </row>
    <row r="6" spans="1:16" s="17" customFormat="1" ht="14.45" customHeight="1" x14ac:dyDescent="0.25">
      <c r="A6" s="458"/>
      <c r="B6" s="458"/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</row>
    <row r="7" spans="1:16" s="17" customFormat="1" ht="14.45" customHeight="1" x14ac:dyDescent="0.25">
      <c r="A7" s="458"/>
      <c r="B7" s="458"/>
      <c r="C7" s="480"/>
      <c r="D7" s="480"/>
      <c r="E7" s="480"/>
      <c r="F7" s="480"/>
      <c r="G7" s="480"/>
      <c r="H7" s="480"/>
      <c r="I7" s="480"/>
      <c r="J7" s="480"/>
      <c r="K7" s="480"/>
      <c r="L7" s="480"/>
      <c r="M7" s="480"/>
    </row>
    <row r="8" spans="1:16" s="17" customFormat="1" ht="72.75" customHeight="1" x14ac:dyDescent="0.25">
      <c r="A8" s="458"/>
      <c r="B8" s="458"/>
      <c r="C8" s="480"/>
      <c r="D8" s="480"/>
      <c r="E8" s="480"/>
      <c r="F8" s="480"/>
      <c r="G8" s="480"/>
      <c r="H8" s="480"/>
      <c r="I8" s="480"/>
      <c r="J8" s="480"/>
      <c r="K8" s="480"/>
      <c r="L8" s="480"/>
      <c r="M8" s="480"/>
    </row>
    <row r="9" spans="1:16" s="17" customFormat="1" ht="14.45" customHeight="1" x14ac:dyDescent="0.25">
      <c r="A9" s="458" t="s">
        <v>67</v>
      </c>
      <c r="B9" s="458"/>
      <c r="C9" s="481" t="s">
        <v>68</v>
      </c>
      <c r="D9" s="481"/>
      <c r="E9" s="481"/>
      <c r="F9" s="481"/>
      <c r="G9" s="481"/>
      <c r="H9" s="481"/>
      <c r="I9" s="481"/>
      <c r="J9" s="481"/>
      <c r="K9" s="481"/>
      <c r="L9" s="481"/>
      <c r="M9" s="481"/>
    </row>
    <row r="10" spans="1:16" s="17" customFormat="1" ht="14.45" customHeight="1" x14ac:dyDescent="0.25">
      <c r="A10" s="458"/>
      <c r="B10" s="458"/>
      <c r="C10" s="481"/>
      <c r="D10" s="481"/>
      <c r="E10" s="481"/>
      <c r="F10" s="481"/>
      <c r="G10" s="481"/>
      <c r="H10" s="481"/>
      <c r="I10" s="481"/>
      <c r="J10" s="481"/>
      <c r="K10" s="481"/>
      <c r="L10" s="481"/>
      <c r="M10" s="481"/>
    </row>
    <row r="11" spans="1:16" s="17" customFormat="1" ht="14.45" customHeight="1" x14ac:dyDescent="0.25">
      <c r="A11" s="458" t="s">
        <v>69</v>
      </c>
      <c r="B11" s="458"/>
      <c r="C11" s="459" t="s">
        <v>70</v>
      </c>
      <c r="D11" s="459"/>
      <c r="E11" s="459"/>
      <c r="F11" s="459"/>
      <c r="G11" s="459"/>
      <c r="H11" s="459"/>
      <c r="I11" s="459"/>
      <c r="J11" s="459"/>
      <c r="K11" s="459"/>
      <c r="L11" s="459"/>
      <c r="M11" s="459"/>
    </row>
    <row r="12" spans="1:16" s="17" customFormat="1" ht="15.75" customHeight="1" thickBot="1" x14ac:dyDescent="0.3">
      <c r="A12" s="559"/>
      <c r="B12" s="559"/>
      <c r="C12" s="460"/>
      <c r="D12" s="460"/>
      <c r="E12" s="460"/>
      <c r="F12" s="460"/>
      <c r="G12" s="460"/>
      <c r="H12" s="460"/>
      <c r="I12" s="460"/>
      <c r="J12" s="460"/>
      <c r="K12" s="460"/>
      <c r="L12" s="460"/>
      <c r="M12" s="460"/>
    </row>
    <row r="13" spans="1:16" s="151" customFormat="1" ht="61.15" customHeight="1" x14ac:dyDescent="0.25">
      <c r="A13" s="148" t="s">
        <v>27</v>
      </c>
      <c r="B13" s="148" t="s">
        <v>28</v>
      </c>
      <c r="C13" s="148" t="s">
        <v>29</v>
      </c>
      <c r="D13" s="148" t="s">
        <v>30</v>
      </c>
      <c r="E13" s="148" t="s">
        <v>227</v>
      </c>
      <c r="F13" s="148" t="s">
        <v>31</v>
      </c>
      <c r="G13" s="148" t="s">
        <v>32</v>
      </c>
      <c r="H13" s="149"/>
      <c r="I13" s="150"/>
      <c r="J13" s="150"/>
      <c r="P13" s="150"/>
    </row>
    <row r="14" spans="1:16" x14ac:dyDescent="0.2">
      <c r="A14" s="152" t="s">
        <v>228</v>
      </c>
      <c r="B14" s="152" t="s">
        <v>229</v>
      </c>
      <c r="C14" s="153" t="s">
        <v>230</v>
      </c>
      <c r="D14" s="152" t="s">
        <v>231</v>
      </c>
      <c r="E14" s="154" t="s">
        <v>232</v>
      </c>
      <c r="F14" s="153" t="s">
        <v>233</v>
      </c>
      <c r="G14" s="155" t="s">
        <v>234</v>
      </c>
      <c r="H14" s="156"/>
    </row>
    <row r="15" spans="1:16" ht="41.25" customHeight="1" x14ac:dyDescent="0.2">
      <c r="A15" s="159"/>
      <c r="B15" s="554" t="s">
        <v>33</v>
      </c>
      <c r="C15" s="554"/>
      <c r="D15" s="554"/>
      <c r="E15" s="554"/>
      <c r="F15" s="554"/>
      <c r="G15" s="554"/>
    </row>
    <row r="16" spans="1:16" ht="22.5" customHeight="1" x14ac:dyDescent="0.2">
      <c r="A16" s="159"/>
      <c r="B16" s="554" t="s">
        <v>235</v>
      </c>
      <c r="C16" s="554"/>
      <c r="D16" s="554"/>
      <c r="E16" s="554"/>
      <c r="F16" s="554"/>
      <c r="G16" s="554"/>
    </row>
    <row r="17" spans="1:16" ht="45" customHeight="1" x14ac:dyDescent="0.2">
      <c r="A17" s="159"/>
      <c r="B17" s="554" t="s">
        <v>236</v>
      </c>
      <c r="C17" s="554"/>
      <c r="D17" s="554"/>
      <c r="E17" s="554"/>
      <c r="F17" s="554"/>
      <c r="G17" s="554"/>
    </row>
    <row r="18" spans="1:16" ht="29.45" customHeight="1" x14ac:dyDescent="0.2">
      <c r="A18" s="159"/>
      <c r="B18" s="554" t="s">
        <v>237</v>
      </c>
      <c r="C18" s="554"/>
      <c r="D18" s="554"/>
      <c r="E18" s="554"/>
      <c r="F18" s="554"/>
      <c r="G18" s="554"/>
    </row>
    <row r="19" spans="1:16" ht="20.25" customHeight="1" x14ac:dyDescent="0.2">
      <c r="A19" s="159"/>
      <c r="B19" s="554" t="s">
        <v>238</v>
      </c>
      <c r="C19" s="554"/>
      <c r="D19" s="554"/>
      <c r="E19" s="554"/>
      <c r="F19" s="554"/>
      <c r="G19" s="554"/>
    </row>
    <row r="20" spans="1:16" ht="19.5" customHeight="1" x14ac:dyDescent="0.2">
      <c r="A20" s="161"/>
      <c r="B20" s="548" t="s">
        <v>239</v>
      </c>
      <c r="C20" s="555"/>
      <c r="D20" s="555"/>
      <c r="E20" s="555"/>
      <c r="F20" s="555"/>
      <c r="G20" s="555"/>
    </row>
    <row r="21" spans="1:16" s="164" customFormat="1" ht="22.5" customHeight="1" x14ac:dyDescent="0.2">
      <c r="A21" s="161"/>
      <c r="B21" s="548" t="s">
        <v>240</v>
      </c>
      <c r="C21" s="548"/>
      <c r="D21" s="548"/>
      <c r="E21" s="548"/>
      <c r="F21" s="548"/>
      <c r="G21" s="548"/>
      <c r="H21" s="162"/>
      <c r="I21" s="163"/>
      <c r="J21" s="163"/>
      <c r="P21" s="163"/>
    </row>
    <row r="22" spans="1:16" ht="21.75" customHeight="1" x14ac:dyDescent="0.2">
      <c r="A22" s="165"/>
      <c r="B22" s="556" t="s">
        <v>241</v>
      </c>
      <c r="C22" s="557"/>
      <c r="D22" s="557"/>
      <c r="E22" s="557"/>
      <c r="F22" s="557"/>
      <c r="G22" s="558"/>
    </row>
    <row r="23" spans="1:16" ht="21.75" customHeight="1" x14ac:dyDescent="0.2">
      <c r="A23" s="165"/>
      <c r="B23" s="556" t="s">
        <v>242</v>
      </c>
      <c r="C23" s="557"/>
      <c r="D23" s="557"/>
      <c r="E23" s="557"/>
      <c r="F23" s="557"/>
      <c r="G23" s="558"/>
    </row>
    <row r="24" spans="1:16" ht="16.5" customHeight="1" x14ac:dyDescent="0.2">
      <c r="A24" s="549" t="s">
        <v>34</v>
      </c>
      <c r="B24" s="550"/>
      <c r="C24" s="550"/>
      <c r="D24" s="550"/>
      <c r="E24" s="550"/>
      <c r="F24" s="550"/>
      <c r="G24" s="551"/>
    </row>
    <row r="25" spans="1:16" ht="18" customHeight="1" x14ac:dyDescent="0.2">
      <c r="A25" s="166"/>
      <c r="B25" s="545" t="s">
        <v>243</v>
      </c>
      <c r="C25" s="546"/>
      <c r="D25" s="546"/>
      <c r="E25" s="546"/>
      <c r="F25" s="546"/>
      <c r="G25" s="547"/>
    </row>
    <row r="26" spans="1:16" ht="75" customHeight="1" x14ac:dyDescent="0.2">
      <c r="A26" s="166">
        <v>1</v>
      </c>
      <c r="B26" s="167" t="s">
        <v>244</v>
      </c>
      <c r="C26" s="153" t="s">
        <v>35</v>
      </c>
      <c r="D26" s="167" t="s">
        <v>245</v>
      </c>
      <c r="E26" s="168">
        <f>2592*3.4*1.5*0.5</f>
        <v>6609.5999999999995</v>
      </c>
      <c r="F26" s="169">
        <v>1</v>
      </c>
      <c r="G26" s="170">
        <f t="shared" ref="G26:G32" si="0">E26*F26</f>
        <v>6609.5999999999995</v>
      </c>
    </row>
    <row r="27" spans="1:16" ht="63" customHeight="1" x14ac:dyDescent="0.2">
      <c r="A27" s="166">
        <f>MAX(A$14:A26)+1</f>
        <v>2</v>
      </c>
      <c r="B27" s="167" t="s">
        <v>246</v>
      </c>
      <c r="C27" s="153" t="s">
        <v>35</v>
      </c>
      <c r="D27" s="167" t="s">
        <v>247</v>
      </c>
      <c r="E27" s="168">
        <f>2592*4.42*1.5*0.5</f>
        <v>8592.48</v>
      </c>
      <c r="F27" s="169">
        <v>1</v>
      </c>
      <c r="G27" s="170">
        <f t="shared" si="0"/>
        <v>8592.48</v>
      </c>
      <c r="H27" s="171"/>
    </row>
    <row r="28" spans="1:16" ht="76.150000000000006" customHeight="1" x14ac:dyDescent="0.2">
      <c r="A28" s="166">
        <f>MAX(A$14:A27)+1</f>
        <v>3</v>
      </c>
      <c r="B28" s="167" t="s">
        <v>248</v>
      </c>
      <c r="C28" s="153" t="s">
        <v>35</v>
      </c>
      <c r="D28" s="167" t="s">
        <v>249</v>
      </c>
      <c r="E28" s="168">
        <f>2592*1.83*1.5*0.5</f>
        <v>3557.5200000000004</v>
      </c>
      <c r="F28" s="169">
        <v>1</v>
      </c>
      <c r="G28" s="170">
        <f t="shared" si="0"/>
        <v>3557.5200000000004</v>
      </c>
    </row>
    <row r="29" spans="1:16" ht="66.75" customHeight="1" x14ac:dyDescent="0.2">
      <c r="A29" s="166">
        <f>MAX(A$14:A28)+1</f>
        <v>4</v>
      </c>
      <c r="B29" s="172" t="s">
        <v>250</v>
      </c>
      <c r="C29" s="173" t="s">
        <v>35</v>
      </c>
      <c r="D29" s="172" t="s">
        <v>251</v>
      </c>
      <c r="E29" s="174">
        <f>2592*2.97*0.1</f>
        <v>769.82400000000007</v>
      </c>
      <c r="F29" s="175">
        <v>1</v>
      </c>
      <c r="G29" s="176">
        <f t="shared" si="0"/>
        <v>769.82400000000007</v>
      </c>
    </row>
    <row r="30" spans="1:16" ht="66.75" customHeight="1" x14ac:dyDescent="0.2">
      <c r="A30" s="166">
        <f>MAX(A$14:A29)+1</f>
        <v>5</v>
      </c>
      <c r="B30" s="167" t="s">
        <v>252</v>
      </c>
      <c r="C30" s="153" t="s">
        <v>35</v>
      </c>
      <c r="D30" s="167" t="s">
        <v>253</v>
      </c>
      <c r="E30" s="168">
        <f>2592*2.36*1.5*0.5</f>
        <v>4587.84</v>
      </c>
      <c r="F30" s="169">
        <v>1</v>
      </c>
      <c r="G30" s="170">
        <f t="shared" si="0"/>
        <v>4587.84</v>
      </c>
    </row>
    <row r="31" spans="1:16" ht="60" x14ac:dyDescent="0.2">
      <c r="A31" s="166">
        <f>MAX(A$14:A30)+1</f>
        <v>6</v>
      </c>
      <c r="B31" s="167" t="s">
        <v>254</v>
      </c>
      <c r="C31" s="153" t="s">
        <v>255</v>
      </c>
      <c r="D31" s="167" t="s">
        <v>256</v>
      </c>
      <c r="E31" s="168">
        <f>2592*0.167</f>
        <v>432.86400000000003</v>
      </c>
      <c r="F31" s="169">
        <v>16</v>
      </c>
      <c r="G31" s="170">
        <f t="shared" si="0"/>
        <v>6925.8240000000005</v>
      </c>
    </row>
    <row r="32" spans="1:16" ht="45" x14ac:dyDescent="0.2">
      <c r="A32" s="166">
        <f>MAX(A$14:A31)+1</f>
        <v>7</v>
      </c>
      <c r="B32" s="167" t="s">
        <v>257</v>
      </c>
      <c r="C32" s="153" t="s">
        <v>258</v>
      </c>
      <c r="D32" s="167" t="s">
        <v>259</v>
      </c>
      <c r="E32" s="168">
        <f>14.6*4*5.7</f>
        <v>332.88</v>
      </c>
      <c r="F32" s="169">
        <v>2</v>
      </c>
      <c r="G32" s="170">
        <f t="shared" si="0"/>
        <v>665.76</v>
      </c>
    </row>
    <row r="33" spans="1:26" ht="20.25" customHeight="1" x14ac:dyDescent="0.2">
      <c r="A33" s="166">
        <f>MAX(A$14:A32)+1</f>
        <v>8</v>
      </c>
      <c r="B33" s="535" t="s">
        <v>38</v>
      </c>
      <c r="C33" s="536"/>
      <c r="D33" s="536"/>
      <c r="E33" s="536"/>
      <c r="F33" s="537"/>
      <c r="G33" s="177">
        <f>SUM(G26:G32)</f>
        <v>31708.847999999998</v>
      </c>
      <c r="Z33" s="178">
        <f>G33</f>
        <v>31708.847999999998</v>
      </c>
    </row>
    <row r="34" spans="1:26" x14ac:dyDescent="0.2">
      <c r="A34" s="549" t="s">
        <v>39</v>
      </c>
      <c r="B34" s="550"/>
      <c r="C34" s="550"/>
      <c r="D34" s="550"/>
      <c r="E34" s="550"/>
      <c r="F34" s="550"/>
      <c r="G34" s="551"/>
      <c r="H34" s="171"/>
    </row>
    <row r="35" spans="1:26" ht="17.25" customHeight="1" x14ac:dyDescent="0.2">
      <c r="A35" s="166"/>
      <c r="B35" s="549" t="s">
        <v>260</v>
      </c>
      <c r="C35" s="550"/>
      <c r="D35" s="550"/>
      <c r="E35" s="550"/>
      <c r="F35" s="550"/>
      <c r="G35" s="551"/>
    </row>
    <row r="36" spans="1:26" ht="24" customHeight="1" x14ac:dyDescent="0.2">
      <c r="A36" s="166"/>
      <c r="B36" s="549" t="s">
        <v>261</v>
      </c>
      <c r="C36" s="550"/>
      <c r="D36" s="550"/>
      <c r="E36" s="550"/>
      <c r="F36" s="550"/>
      <c r="G36" s="551"/>
    </row>
    <row r="37" spans="1:26" ht="94.5" customHeight="1" x14ac:dyDescent="0.2">
      <c r="A37" s="166">
        <f>MAX(A$14:A36)+1</f>
        <v>9</v>
      </c>
      <c r="B37" s="167" t="s">
        <v>262</v>
      </c>
      <c r="C37" s="153" t="s">
        <v>35</v>
      </c>
      <c r="D37" s="167" t="s">
        <v>263</v>
      </c>
      <c r="E37" s="168">
        <f>2592*(8.22+(10.62-8.22)*(1.315-1)/(2-1))*1.15*0.53*0.5</f>
        <v>7090.2501119999997</v>
      </c>
      <c r="F37" s="169">
        <v>1</v>
      </c>
      <c r="G37" s="170">
        <f t="shared" ref="G37:G42" si="1">E37*F37</f>
        <v>7090.2501119999997</v>
      </c>
    </row>
    <row r="38" spans="1:26" ht="90" customHeight="1" x14ac:dyDescent="0.2">
      <c r="A38" s="166">
        <f>MAX(A$14:A37)+1</f>
        <v>10</v>
      </c>
      <c r="B38" s="167" t="s">
        <v>264</v>
      </c>
      <c r="C38" s="153" t="s">
        <v>35</v>
      </c>
      <c r="D38" s="167" t="s">
        <v>265</v>
      </c>
      <c r="E38" s="168">
        <f>2592*(8.22+(10.62-8.22)*(1.315-1)/(2-1))*0.47*0.5</f>
        <v>5467.4611199999999</v>
      </c>
      <c r="F38" s="169">
        <v>1</v>
      </c>
      <c r="G38" s="170">
        <f t="shared" si="1"/>
        <v>5467.4611199999999</v>
      </c>
      <c r="H38" s="156"/>
    </row>
    <row r="39" spans="1:26" s="164" customFormat="1" ht="111.75" customHeight="1" x14ac:dyDescent="0.2">
      <c r="A39" s="179">
        <f>MAX(A$15:A38)+1</f>
        <v>11</v>
      </c>
      <c r="B39" s="172" t="s">
        <v>266</v>
      </c>
      <c r="C39" s="173" t="s">
        <v>35</v>
      </c>
      <c r="D39" s="172" t="s">
        <v>267</v>
      </c>
      <c r="E39" s="174">
        <f>2592*(7.97+(11.98-7.97)* (1.315-1)/(2-1))*0.53*1.3* 1.15*0.5</f>
        <v>9481.3887776400006</v>
      </c>
      <c r="F39" s="175">
        <v>1</v>
      </c>
      <c r="G39" s="176">
        <f t="shared" si="1"/>
        <v>9481.3887776400006</v>
      </c>
      <c r="H39" s="180"/>
      <c r="I39" s="163"/>
      <c r="J39" s="163"/>
      <c r="P39" s="163"/>
    </row>
    <row r="40" spans="1:26" s="164" customFormat="1" ht="112.5" customHeight="1" x14ac:dyDescent="0.2">
      <c r="A40" s="179">
        <f>MAX(A$15:A39)+1</f>
        <v>12</v>
      </c>
      <c r="B40" s="172" t="s">
        <v>268</v>
      </c>
      <c r="C40" s="173" t="s">
        <v>35</v>
      </c>
      <c r="D40" s="172" t="s">
        <v>269</v>
      </c>
      <c r="E40" s="174">
        <f>2592*(7.97+(11.98-7.97)* (1.315-1)/(2-1))*0.47*0.5</f>
        <v>5624.0963280000005</v>
      </c>
      <c r="F40" s="175">
        <v>1</v>
      </c>
      <c r="G40" s="176">
        <f t="shared" si="1"/>
        <v>5624.0963280000005</v>
      </c>
      <c r="H40" s="162"/>
      <c r="I40" s="163"/>
      <c r="J40" s="163"/>
      <c r="P40" s="163"/>
    </row>
    <row r="41" spans="1:26" s="164" customFormat="1" ht="108" customHeight="1" x14ac:dyDescent="0.2">
      <c r="A41" s="166">
        <f>MAX(A$14:A40)+1</f>
        <v>13</v>
      </c>
      <c r="B41" s="167" t="s">
        <v>270</v>
      </c>
      <c r="C41" s="153" t="s">
        <v>35</v>
      </c>
      <c r="D41" s="167" t="s">
        <v>271</v>
      </c>
      <c r="E41" s="168">
        <f>2592*(3.46+(5.18-3.46)* (1.315-1)/(2-1))*0.53*1.15*1.3*0.5</f>
        <v>4109.39079408</v>
      </c>
      <c r="F41" s="169">
        <v>1</v>
      </c>
      <c r="G41" s="170">
        <f t="shared" si="1"/>
        <v>4109.39079408</v>
      </c>
      <c r="H41" s="162"/>
      <c r="I41" s="163"/>
      <c r="J41" s="163"/>
      <c r="P41" s="163"/>
    </row>
    <row r="42" spans="1:26" s="164" customFormat="1" ht="107.25" customHeight="1" x14ac:dyDescent="0.2">
      <c r="A42" s="166">
        <f>MAX(A$14:A41)+1</f>
        <v>14</v>
      </c>
      <c r="B42" s="167" t="s">
        <v>272</v>
      </c>
      <c r="C42" s="153" t="s">
        <v>35</v>
      </c>
      <c r="D42" s="167" t="s">
        <v>273</v>
      </c>
      <c r="E42" s="168">
        <f>2592*(3.46+(5.18-3.46)* (1.315-1)/(2-1))*0.47*0.5</f>
        <v>2437.5764159999994</v>
      </c>
      <c r="F42" s="169">
        <v>1</v>
      </c>
      <c r="G42" s="170">
        <f t="shared" si="1"/>
        <v>2437.5764159999994</v>
      </c>
      <c r="H42" s="162"/>
      <c r="I42" s="163"/>
      <c r="J42" s="163"/>
      <c r="P42" s="163"/>
    </row>
    <row r="43" spans="1:26" s="164" customFormat="1" x14ac:dyDescent="0.2">
      <c r="A43" s="166">
        <f>MAX(A$14:A42)+1</f>
        <v>15</v>
      </c>
      <c r="B43" s="535" t="s">
        <v>274</v>
      </c>
      <c r="C43" s="536"/>
      <c r="D43" s="536"/>
      <c r="E43" s="536"/>
      <c r="F43" s="537"/>
      <c r="G43" s="177">
        <f>SUM(G37:G42)</f>
        <v>34210.163547719996</v>
      </c>
      <c r="H43" s="162"/>
      <c r="I43" s="163"/>
      <c r="J43" s="163"/>
      <c r="P43" s="163"/>
    </row>
    <row r="44" spans="1:26" s="164" customFormat="1" ht="24.75" customHeight="1" x14ac:dyDescent="0.2">
      <c r="A44" s="166"/>
      <c r="B44" s="545" t="s">
        <v>275</v>
      </c>
      <c r="C44" s="546"/>
      <c r="D44" s="546"/>
      <c r="E44" s="546"/>
      <c r="F44" s="546"/>
      <c r="G44" s="547"/>
      <c r="H44" s="181"/>
      <c r="I44" s="163"/>
      <c r="J44" s="163"/>
      <c r="P44" s="163"/>
    </row>
    <row r="45" spans="1:26" s="164" customFormat="1" ht="111" customHeight="1" x14ac:dyDescent="0.2">
      <c r="A45" s="166">
        <f>MAX(A$14:A44)+1</f>
        <v>16</v>
      </c>
      <c r="B45" s="167" t="s">
        <v>276</v>
      </c>
      <c r="C45" s="153" t="s">
        <v>40</v>
      </c>
      <c r="D45" s="167" t="s">
        <v>277</v>
      </c>
      <c r="E45" s="168">
        <f>2592*0.47*0.53*1.3*1.15*0.5</f>
        <v>482.63623200000006</v>
      </c>
      <c r="F45" s="169">
        <v>12</v>
      </c>
      <c r="G45" s="170">
        <f>E45*F45</f>
        <v>5791.6347840000008</v>
      </c>
      <c r="H45" s="162"/>
      <c r="I45" s="163"/>
      <c r="J45" s="163"/>
      <c r="P45" s="163"/>
    </row>
    <row r="46" spans="1:26" s="164" customFormat="1" ht="78" customHeight="1" x14ac:dyDescent="0.2">
      <c r="A46" s="166">
        <f>MAX(A$14:A45)+1</f>
        <v>17</v>
      </c>
      <c r="B46" s="167" t="s">
        <v>278</v>
      </c>
      <c r="C46" s="153" t="s">
        <v>40</v>
      </c>
      <c r="D46" s="167" t="s">
        <v>279</v>
      </c>
      <c r="E46" s="168">
        <f>2592*0.47*0.47*0.5</f>
        <v>286.28639999999996</v>
      </c>
      <c r="F46" s="169">
        <v>12</v>
      </c>
      <c r="G46" s="170">
        <f>E46*F46</f>
        <v>3435.4367999999995</v>
      </c>
      <c r="H46" s="162"/>
      <c r="I46" s="163"/>
      <c r="J46" s="163"/>
      <c r="P46" s="163"/>
    </row>
    <row r="47" spans="1:26" s="164" customFormat="1" ht="112.5" customHeight="1" x14ac:dyDescent="0.2">
      <c r="A47" s="166">
        <f>MAX(A$14:A46)+1</f>
        <v>18</v>
      </c>
      <c r="B47" s="167" t="s">
        <v>280</v>
      </c>
      <c r="C47" s="153" t="s">
        <v>40</v>
      </c>
      <c r="D47" s="167" t="s">
        <v>281</v>
      </c>
      <c r="E47" s="168">
        <f>2592*0.28*0.53*1.15*1.3*0.5</f>
        <v>287.52796800000004</v>
      </c>
      <c r="F47" s="169">
        <v>12</v>
      </c>
      <c r="G47" s="170">
        <f>E47*F47</f>
        <v>3450.3356160000003</v>
      </c>
      <c r="H47" s="162"/>
      <c r="I47" s="163"/>
      <c r="J47" s="163"/>
      <c r="P47" s="163"/>
    </row>
    <row r="48" spans="1:26" s="164" customFormat="1" ht="78.75" customHeight="1" x14ac:dyDescent="0.2">
      <c r="A48" s="166">
        <f>MAX(A$14:A47)+1</f>
        <v>19</v>
      </c>
      <c r="B48" s="167" t="s">
        <v>282</v>
      </c>
      <c r="C48" s="153" t="s">
        <v>40</v>
      </c>
      <c r="D48" s="167" t="s">
        <v>283</v>
      </c>
      <c r="E48" s="168">
        <f>2592*0.28*0.47*0.5</f>
        <v>170.55360000000002</v>
      </c>
      <c r="F48" s="169">
        <v>12</v>
      </c>
      <c r="G48" s="170">
        <f>E48*F48</f>
        <v>2046.6432000000002</v>
      </c>
      <c r="H48" s="162"/>
      <c r="I48" s="163"/>
      <c r="J48" s="163"/>
      <c r="P48" s="163"/>
    </row>
    <row r="49" spans="1:16" s="164" customFormat="1" x14ac:dyDescent="0.2">
      <c r="A49" s="166">
        <f>MAX(A$14:A48)+1</f>
        <v>20</v>
      </c>
      <c r="B49" s="535" t="s">
        <v>284</v>
      </c>
      <c r="C49" s="536"/>
      <c r="D49" s="536"/>
      <c r="E49" s="536"/>
      <c r="F49" s="537"/>
      <c r="G49" s="177" t="str">
        <f>FIXED(SUM(G45:G48))</f>
        <v>14 724,05</v>
      </c>
      <c r="H49" s="181"/>
      <c r="I49" s="163"/>
      <c r="J49" s="163"/>
      <c r="P49" s="163"/>
    </row>
    <row r="50" spans="1:16" s="164" customFormat="1" x14ac:dyDescent="0.2">
      <c r="A50" s="166"/>
      <c r="B50" s="545" t="s">
        <v>285</v>
      </c>
      <c r="C50" s="546"/>
      <c r="D50" s="546"/>
      <c r="E50" s="546"/>
      <c r="F50" s="546"/>
      <c r="G50" s="547"/>
      <c r="H50" s="180"/>
      <c r="I50" s="163"/>
      <c r="J50" s="163"/>
      <c r="P50" s="163"/>
    </row>
    <row r="51" spans="1:16" s="164" customFormat="1" ht="110.25" customHeight="1" x14ac:dyDescent="0.2">
      <c r="A51" s="166">
        <f>MAX(A$14:A49)+1</f>
        <v>21</v>
      </c>
      <c r="B51" s="167" t="s">
        <v>286</v>
      </c>
      <c r="C51" s="153" t="s">
        <v>40</v>
      </c>
      <c r="D51" s="167" t="s">
        <v>287</v>
      </c>
      <c r="E51" s="154">
        <f>2592*1.25*(0.53*1.15*1.3+0.47)*0.5</f>
        <v>2045.0069999999998</v>
      </c>
      <c r="F51" s="153">
        <v>12</v>
      </c>
      <c r="G51" s="154">
        <f>E51*F51</f>
        <v>24540.083999999999</v>
      </c>
      <c r="H51" s="180"/>
      <c r="I51" s="182"/>
      <c r="J51" s="163"/>
      <c r="P51" s="163"/>
    </row>
    <row r="52" spans="1:16" s="164" customFormat="1" x14ac:dyDescent="0.2">
      <c r="A52" s="166">
        <f>MAX(A$14:A51)+1</f>
        <v>22</v>
      </c>
      <c r="B52" s="535" t="s">
        <v>288</v>
      </c>
      <c r="C52" s="536"/>
      <c r="D52" s="536"/>
      <c r="E52" s="536"/>
      <c r="F52" s="537"/>
      <c r="G52" s="177" t="str">
        <f>FIXED(SUM(G50:G51))</f>
        <v>24 540,08</v>
      </c>
      <c r="H52" s="162"/>
      <c r="I52" s="163"/>
      <c r="J52" s="163"/>
      <c r="P52" s="163"/>
    </row>
    <row r="53" spans="1:16" s="164" customFormat="1" x14ac:dyDescent="0.2">
      <c r="A53" s="166"/>
      <c r="B53" s="183" t="s">
        <v>289</v>
      </c>
      <c r="C53" s="153"/>
      <c r="D53" s="167"/>
      <c r="E53" s="168"/>
      <c r="F53" s="169"/>
      <c r="G53" s="170"/>
      <c r="H53" s="180"/>
      <c r="I53" s="163"/>
      <c r="J53" s="163"/>
      <c r="P53" s="163"/>
    </row>
    <row r="54" spans="1:16" s="164" customFormat="1" ht="45" x14ac:dyDescent="0.2">
      <c r="A54" s="166">
        <f>MAX(A$28:A53)+1</f>
        <v>23</v>
      </c>
      <c r="B54" s="167" t="s">
        <v>290</v>
      </c>
      <c r="C54" s="153" t="s">
        <v>43</v>
      </c>
      <c r="D54" s="167" t="s">
        <v>44</v>
      </c>
      <c r="E54" s="168">
        <f>2592*2.17</f>
        <v>5624.6399999999994</v>
      </c>
      <c r="F54" s="169">
        <v>2</v>
      </c>
      <c r="G54" s="170">
        <f t="shared" ref="G54:G61" si="2">ROUND(E54*F54,2)</f>
        <v>11249.28</v>
      </c>
      <c r="H54" s="180"/>
      <c r="I54" s="163"/>
      <c r="J54" s="163"/>
      <c r="P54" s="163"/>
    </row>
    <row r="55" spans="1:16" s="164" customFormat="1" ht="60" x14ac:dyDescent="0.2">
      <c r="A55" s="166">
        <f>MAX(A$28:A54)+1</f>
        <v>24</v>
      </c>
      <c r="B55" s="167" t="s">
        <v>291</v>
      </c>
      <c r="C55" s="153" t="s">
        <v>292</v>
      </c>
      <c r="D55" s="167" t="s">
        <v>45</v>
      </c>
      <c r="E55" s="168">
        <f>2592*0.9</f>
        <v>2332.8000000000002</v>
      </c>
      <c r="F55" s="169">
        <v>4</v>
      </c>
      <c r="G55" s="170">
        <f t="shared" si="2"/>
        <v>9331.2000000000007</v>
      </c>
      <c r="H55" s="180"/>
      <c r="I55" s="163"/>
      <c r="J55" s="163"/>
      <c r="P55" s="163"/>
    </row>
    <row r="56" spans="1:16" s="164" customFormat="1" ht="45" x14ac:dyDescent="0.2">
      <c r="A56" s="166">
        <f>MAX(A$28:A55)+1</f>
        <v>25</v>
      </c>
      <c r="B56" s="167" t="s">
        <v>293</v>
      </c>
      <c r="C56" s="153" t="s">
        <v>292</v>
      </c>
      <c r="D56" s="167" t="s">
        <v>46</v>
      </c>
      <c r="E56" s="168">
        <f>2592*2.4</f>
        <v>6220.8</v>
      </c>
      <c r="F56" s="169">
        <f>F55</f>
        <v>4</v>
      </c>
      <c r="G56" s="170">
        <f t="shared" si="2"/>
        <v>24883.200000000001</v>
      </c>
      <c r="H56" s="180"/>
      <c r="I56" s="163"/>
      <c r="J56" s="163"/>
      <c r="P56" s="163"/>
    </row>
    <row r="57" spans="1:16" s="164" customFormat="1" ht="45" x14ac:dyDescent="0.2">
      <c r="A57" s="166">
        <f>MAX(A$28:A56)+1</f>
        <v>26</v>
      </c>
      <c r="B57" s="167" t="s">
        <v>294</v>
      </c>
      <c r="C57" s="153" t="s">
        <v>36</v>
      </c>
      <c r="D57" s="167" t="s">
        <v>37</v>
      </c>
      <c r="E57" s="168">
        <f xml:space="preserve"> 2592*0.167</f>
        <v>432.86400000000003</v>
      </c>
      <c r="F57" s="169">
        <v>4</v>
      </c>
      <c r="G57" s="170">
        <f t="shared" si="2"/>
        <v>1731.46</v>
      </c>
      <c r="H57" s="180"/>
      <c r="I57" s="163"/>
      <c r="J57" s="163"/>
      <c r="P57" s="163"/>
    </row>
    <row r="58" spans="1:16" s="164" customFormat="1" ht="75" x14ac:dyDescent="0.2">
      <c r="A58" s="166">
        <f>MAX(A$28:A57)+1</f>
        <v>27</v>
      </c>
      <c r="B58" s="167" t="s">
        <v>295</v>
      </c>
      <c r="C58" s="153" t="s">
        <v>292</v>
      </c>
      <c r="D58" s="167" t="s">
        <v>296</v>
      </c>
      <c r="E58" s="168">
        <f>2592*(1.25*0.3+2.4)</f>
        <v>7192.8</v>
      </c>
      <c r="F58" s="169">
        <v>2</v>
      </c>
      <c r="G58" s="170">
        <f t="shared" si="2"/>
        <v>14385.6</v>
      </c>
      <c r="H58" s="180"/>
      <c r="I58" s="163"/>
      <c r="J58" s="163"/>
      <c r="P58" s="163"/>
    </row>
    <row r="59" spans="1:16" s="164" customFormat="1" ht="45" x14ac:dyDescent="0.2">
      <c r="A59" s="166">
        <f>MAX(A$28:A58)+1</f>
        <v>28</v>
      </c>
      <c r="B59" s="167" t="s">
        <v>297</v>
      </c>
      <c r="C59" s="153" t="s">
        <v>292</v>
      </c>
      <c r="D59" s="167" t="s">
        <v>298</v>
      </c>
      <c r="E59" s="168">
        <f>2592*20.96*0.3</f>
        <v>16298.495999999999</v>
      </c>
      <c r="F59" s="169">
        <f>F58</f>
        <v>2</v>
      </c>
      <c r="G59" s="170">
        <f t="shared" si="2"/>
        <v>32596.99</v>
      </c>
      <c r="H59" s="180"/>
      <c r="I59" s="163"/>
      <c r="J59" s="163"/>
      <c r="P59" s="163"/>
    </row>
    <row r="60" spans="1:16" s="164" customFormat="1" ht="45" x14ac:dyDescent="0.2">
      <c r="A60" s="166">
        <f>MAX(A$28:A59)+1</f>
        <v>29</v>
      </c>
      <c r="B60" s="167" t="s">
        <v>299</v>
      </c>
      <c r="C60" s="153" t="s">
        <v>292</v>
      </c>
      <c r="D60" s="167" t="s">
        <v>300</v>
      </c>
      <c r="E60" s="168">
        <f>2592*23.93</f>
        <v>62026.559999999998</v>
      </c>
      <c r="F60" s="169">
        <v>0.5</v>
      </c>
      <c r="G60" s="170">
        <f t="shared" si="2"/>
        <v>31013.279999999999</v>
      </c>
      <c r="H60" s="162"/>
      <c r="I60" s="163"/>
      <c r="J60" s="163"/>
      <c r="P60" s="163"/>
    </row>
    <row r="61" spans="1:16" s="164" customFormat="1" ht="60" x14ac:dyDescent="0.2">
      <c r="A61" s="166">
        <f>MAX(A$28:A60)+1</f>
        <v>30</v>
      </c>
      <c r="B61" s="167" t="s">
        <v>301</v>
      </c>
      <c r="C61" s="153" t="s">
        <v>36</v>
      </c>
      <c r="D61" s="167" t="s">
        <v>37</v>
      </c>
      <c r="E61" s="168">
        <f xml:space="preserve"> 2592*0.167</f>
        <v>432.86400000000003</v>
      </c>
      <c r="F61" s="169">
        <v>12</v>
      </c>
      <c r="G61" s="170">
        <f t="shared" si="2"/>
        <v>5194.37</v>
      </c>
      <c r="H61" s="180"/>
      <c r="I61" s="163"/>
      <c r="J61" s="163"/>
      <c r="P61" s="163"/>
    </row>
    <row r="62" spans="1:16" s="164" customFormat="1" x14ac:dyDescent="0.2">
      <c r="A62" s="166">
        <f>MAX(A$28:A61)+1</f>
        <v>31</v>
      </c>
      <c r="B62" s="548" t="s">
        <v>302</v>
      </c>
      <c r="C62" s="548"/>
      <c r="D62" s="548"/>
      <c r="E62" s="548"/>
      <c r="F62" s="548"/>
      <c r="G62" s="177" t="str">
        <f>FIXED(SUM(G53:G58))</f>
        <v>61 580,74</v>
      </c>
      <c r="H62" s="180"/>
      <c r="I62" s="163"/>
      <c r="J62" s="163"/>
      <c r="P62" s="163"/>
    </row>
    <row r="63" spans="1:16" s="186" customFormat="1" ht="15" customHeight="1" x14ac:dyDescent="0.2">
      <c r="A63" s="166"/>
      <c r="B63" s="549" t="s">
        <v>303</v>
      </c>
      <c r="C63" s="550"/>
      <c r="D63" s="550"/>
      <c r="E63" s="550"/>
      <c r="F63" s="550"/>
      <c r="G63" s="551"/>
      <c r="H63" s="184"/>
      <c r="I63" s="185"/>
    </row>
    <row r="64" spans="1:16" s="164" customFormat="1" ht="78" customHeight="1" x14ac:dyDescent="0.2">
      <c r="A64" s="166">
        <f>MAX(A$14:A63)+1</f>
        <v>32</v>
      </c>
      <c r="B64" s="167" t="s">
        <v>304</v>
      </c>
      <c r="C64" s="153" t="s">
        <v>35</v>
      </c>
      <c r="D64" s="167" t="s">
        <v>305</v>
      </c>
      <c r="E64" s="168">
        <f>2592*(22.25+(24.75-22.25)* (1.315-1)/(2-1))*1.3*0.5</f>
        <v>38813.58</v>
      </c>
      <c r="F64" s="169">
        <v>1</v>
      </c>
      <c r="G64" s="170">
        <f>ROUND(E64*F64,2)</f>
        <v>38813.58</v>
      </c>
      <c r="H64" s="162"/>
      <c r="I64" s="163"/>
      <c r="J64" s="163"/>
      <c r="P64" s="163"/>
    </row>
    <row r="65" spans="1:26" s="164" customFormat="1" ht="63.75" customHeight="1" x14ac:dyDescent="0.2">
      <c r="A65" s="166">
        <f>MAX(A$14:A64)+1</f>
        <v>33</v>
      </c>
      <c r="B65" s="167" t="s">
        <v>306</v>
      </c>
      <c r="C65" s="153" t="s">
        <v>36</v>
      </c>
      <c r="D65" s="167" t="s">
        <v>37</v>
      </c>
      <c r="E65" s="168">
        <f>2592*0.167</f>
        <v>432.86400000000003</v>
      </c>
      <c r="F65" s="169">
        <v>12</v>
      </c>
      <c r="G65" s="170">
        <f>ROUND(E65*F65,2)</f>
        <v>5194.37</v>
      </c>
      <c r="H65" s="162"/>
      <c r="I65" s="163"/>
      <c r="J65" s="163"/>
      <c r="P65" s="163"/>
    </row>
    <row r="66" spans="1:26" s="164" customFormat="1" ht="79.5" customHeight="1" x14ac:dyDescent="0.2">
      <c r="A66" s="166">
        <f>MAX(A$14:A65)+1</f>
        <v>34</v>
      </c>
      <c r="B66" s="167" t="s">
        <v>307</v>
      </c>
      <c r="C66" s="153" t="s">
        <v>308</v>
      </c>
      <c r="D66" s="167" t="s">
        <v>309</v>
      </c>
      <c r="E66" s="168">
        <f>2592*39.12*1.1*0.5</f>
        <v>55769.472000000002</v>
      </c>
      <c r="F66" s="169">
        <v>0.7</v>
      </c>
      <c r="G66" s="170">
        <f>ROUND(E66*F66,2)</f>
        <v>39038.629999999997</v>
      </c>
      <c r="H66" s="162"/>
      <c r="I66" s="163"/>
      <c r="J66" s="163"/>
      <c r="P66" s="163"/>
    </row>
    <row r="67" spans="1:26" s="164" customFormat="1" ht="62.25" customHeight="1" x14ac:dyDescent="0.2">
      <c r="A67" s="166">
        <f>MAX(A$14:A66)+1</f>
        <v>35</v>
      </c>
      <c r="B67" s="167" t="s">
        <v>310</v>
      </c>
      <c r="C67" s="153" t="s">
        <v>308</v>
      </c>
      <c r="D67" s="167" t="s">
        <v>311</v>
      </c>
      <c r="E67" s="168">
        <f>2592* 53.28*0.5</f>
        <v>69050.880000000005</v>
      </c>
      <c r="F67" s="169">
        <v>0.3</v>
      </c>
      <c r="G67" s="170">
        <f>ROUND(E67*F67,2)</f>
        <v>20715.259999999998</v>
      </c>
      <c r="H67" s="162"/>
      <c r="I67" s="163"/>
      <c r="J67" s="163"/>
      <c r="P67" s="163"/>
    </row>
    <row r="68" spans="1:26" s="164" customFormat="1" ht="21.75" customHeight="1" x14ac:dyDescent="0.2">
      <c r="A68" s="166">
        <f>MAX(A$14:A67)+1</f>
        <v>36</v>
      </c>
      <c r="B68" s="535" t="s">
        <v>48</v>
      </c>
      <c r="C68" s="536"/>
      <c r="D68" s="536"/>
      <c r="E68" s="536"/>
      <c r="F68" s="537"/>
      <c r="G68" s="177" t="str">
        <f>FIXED(SUM(G63:G67))</f>
        <v>103 761,84</v>
      </c>
      <c r="H68" s="162"/>
      <c r="I68" s="163"/>
      <c r="J68" s="163"/>
      <c r="P68" s="163"/>
    </row>
    <row r="69" spans="1:26" s="164" customFormat="1" ht="23.25" customHeight="1" x14ac:dyDescent="0.2">
      <c r="A69" s="166"/>
      <c r="B69" s="548" t="s">
        <v>312</v>
      </c>
      <c r="C69" s="548"/>
      <c r="D69" s="548"/>
      <c r="E69" s="548"/>
      <c r="F69" s="548"/>
      <c r="G69" s="548"/>
      <c r="H69" s="162"/>
      <c r="I69" s="163"/>
      <c r="J69" s="163"/>
      <c r="P69" s="163"/>
    </row>
    <row r="70" spans="1:26" s="164" customFormat="1" ht="90" x14ac:dyDescent="0.2">
      <c r="A70" s="166">
        <f>MAX(A$14:A69)+1</f>
        <v>37</v>
      </c>
      <c r="B70" s="167" t="s">
        <v>313</v>
      </c>
      <c r="C70" s="153" t="s">
        <v>35</v>
      </c>
      <c r="D70" s="167" t="s">
        <v>314</v>
      </c>
      <c r="E70" s="168">
        <f>2592*(50.29+(72.86-50.29)*(1.315-1)/(2-1))*0.65</f>
        <v>96706.761840000006</v>
      </c>
      <c r="F70" s="169">
        <v>1</v>
      </c>
      <c r="G70" s="170">
        <f>ROUND(E70*F70,2)</f>
        <v>96706.76</v>
      </c>
      <c r="H70" s="162"/>
      <c r="I70" s="163"/>
      <c r="J70" s="163"/>
      <c r="P70" s="163"/>
    </row>
    <row r="71" spans="1:26" s="164" customFormat="1" ht="60" x14ac:dyDescent="0.2">
      <c r="A71" s="166">
        <f>MAX(A$14:A70)+1</f>
        <v>38</v>
      </c>
      <c r="B71" s="167" t="s">
        <v>315</v>
      </c>
      <c r="C71" s="153" t="s">
        <v>316</v>
      </c>
      <c r="D71" s="167" t="s">
        <v>37</v>
      </c>
      <c r="E71" s="168">
        <f>2592*0.167</f>
        <v>432.86400000000003</v>
      </c>
      <c r="F71" s="169">
        <v>12</v>
      </c>
      <c r="G71" s="170">
        <f>ROUND(E71*F71,2)</f>
        <v>5194.37</v>
      </c>
      <c r="H71" s="162"/>
      <c r="I71" s="163"/>
      <c r="J71" s="163"/>
      <c r="P71" s="163"/>
    </row>
    <row r="72" spans="1:26" s="164" customFormat="1" ht="60.75" customHeight="1" x14ac:dyDescent="0.2">
      <c r="A72" s="166">
        <f>MAX(A$14:A71)+1</f>
        <v>39</v>
      </c>
      <c r="B72" s="167" t="s">
        <v>307</v>
      </c>
      <c r="C72" s="153" t="s">
        <v>308</v>
      </c>
      <c r="D72" s="167" t="s">
        <v>309</v>
      </c>
      <c r="E72" s="168">
        <f>2592*39.12*1.1*0.5</f>
        <v>55769.472000000002</v>
      </c>
      <c r="F72" s="169">
        <v>0.7</v>
      </c>
      <c r="G72" s="170">
        <f>ROUND(E72*F72,2)</f>
        <v>39038.629999999997</v>
      </c>
      <c r="H72" s="162"/>
      <c r="I72" s="163"/>
      <c r="J72" s="163"/>
      <c r="P72" s="163"/>
    </row>
    <row r="73" spans="1:26" s="164" customFormat="1" ht="60" x14ac:dyDescent="0.2">
      <c r="A73" s="166">
        <f>MAX(A$14:A72)+1</f>
        <v>40</v>
      </c>
      <c r="B73" s="167" t="s">
        <v>310</v>
      </c>
      <c r="C73" s="153" t="s">
        <v>308</v>
      </c>
      <c r="D73" s="167" t="s">
        <v>311</v>
      </c>
      <c r="E73" s="168">
        <f>2592* 53.28*0.5</f>
        <v>69050.880000000005</v>
      </c>
      <c r="F73" s="169">
        <v>0.3</v>
      </c>
      <c r="G73" s="170">
        <f>ROUND(E73*F73,2)</f>
        <v>20715.259999999998</v>
      </c>
      <c r="H73" s="162"/>
      <c r="I73" s="163"/>
      <c r="J73" s="163"/>
      <c r="P73" s="163"/>
    </row>
    <row r="74" spans="1:26" s="164" customFormat="1" ht="15" customHeight="1" x14ac:dyDescent="0.2">
      <c r="A74" s="166">
        <f>MAX(A$14:A73)+1</f>
        <v>41</v>
      </c>
      <c r="B74" s="535" t="s">
        <v>317</v>
      </c>
      <c r="C74" s="536"/>
      <c r="D74" s="536"/>
      <c r="E74" s="536"/>
      <c r="F74" s="537"/>
      <c r="G74" s="177" t="str">
        <f>FIXED(SUM(G69:G73))</f>
        <v>161 655,02</v>
      </c>
      <c r="H74" s="162"/>
      <c r="I74" s="163"/>
      <c r="J74" s="163"/>
      <c r="P74" s="163"/>
    </row>
    <row r="75" spans="1:26" s="164" customFormat="1" x14ac:dyDescent="0.2">
      <c r="A75" s="187">
        <f>MAX(A$14:A74)+1</f>
        <v>42</v>
      </c>
      <c r="B75" s="183" t="s">
        <v>50</v>
      </c>
      <c r="C75" s="188"/>
      <c r="D75" s="189"/>
      <c r="E75" s="190"/>
      <c r="F75" s="189"/>
      <c r="G75" s="177">
        <f>G43+G49+G52+G68+G74+G62</f>
        <v>400471.89354771993</v>
      </c>
      <c r="H75" s="162"/>
      <c r="I75" s="163"/>
      <c r="J75" s="163"/>
      <c r="P75" s="163"/>
      <c r="Z75" s="191" t="e">
        <f>G43+G49+G52+G68+G74+#REF!</f>
        <v>#REF!</v>
      </c>
    </row>
    <row r="76" spans="1:26" s="186" customFormat="1" ht="19.5" customHeight="1" x14ac:dyDescent="0.2">
      <c r="A76" s="192"/>
      <c r="B76" s="552" t="s">
        <v>318</v>
      </c>
      <c r="C76" s="552"/>
      <c r="D76" s="552"/>
      <c r="E76" s="552"/>
      <c r="F76" s="552"/>
      <c r="G76" s="553"/>
      <c r="H76" s="193"/>
    </row>
    <row r="77" spans="1:26" s="164" customFormat="1" ht="21.75" customHeight="1" x14ac:dyDescent="0.2">
      <c r="A77" s="194"/>
      <c r="B77" s="532" t="s">
        <v>319</v>
      </c>
      <c r="C77" s="533"/>
      <c r="D77" s="533"/>
      <c r="E77" s="533"/>
      <c r="F77" s="533"/>
      <c r="G77" s="534"/>
      <c r="H77" s="162"/>
      <c r="I77" s="163"/>
      <c r="J77" s="163"/>
      <c r="P77" s="163"/>
    </row>
    <row r="78" spans="1:26" s="164" customFormat="1" ht="78" customHeight="1" x14ac:dyDescent="0.2">
      <c r="A78" s="166">
        <f>MAX(A$14:A77)+1</f>
        <v>43</v>
      </c>
      <c r="B78" s="167" t="s">
        <v>320</v>
      </c>
      <c r="C78" s="153" t="s">
        <v>35</v>
      </c>
      <c r="D78" s="167" t="s">
        <v>321</v>
      </c>
      <c r="E78" s="168">
        <f>2592*(10.35+(13.6-10.35)* (1.712-1)/(2-1))*1.25* 0.5</f>
        <v>20515.679999999997</v>
      </c>
      <c r="F78" s="169">
        <v>1</v>
      </c>
      <c r="G78" s="170">
        <f>ROUND(E78*F78,2)</f>
        <v>20515.68</v>
      </c>
      <c r="H78" s="162"/>
      <c r="I78" s="163"/>
      <c r="J78" s="163"/>
      <c r="P78" s="163"/>
    </row>
    <row r="79" spans="1:26" s="164" customFormat="1" ht="78" customHeight="1" x14ac:dyDescent="0.2">
      <c r="A79" s="166">
        <f>MAX(A$14:A78)+1</f>
        <v>44</v>
      </c>
      <c r="B79" s="167" t="s">
        <v>322</v>
      </c>
      <c r="C79" s="153" t="s">
        <v>35</v>
      </c>
      <c r="D79" s="167" t="s">
        <v>323</v>
      </c>
      <c r="E79" s="168">
        <f>2592*(7.76+(11.96-7.76)* (1.712-1)/(2-1))*1.5* 0.5</f>
        <v>20898.777600000001</v>
      </c>
      <c r="F79" s="169">
        <v>1</v>
      </c>
      <c r="G79" s="170">
        <f>ROUND(E79*F79,2)</f>
        <v>20898.78</v>
      </c>
      <c r="H79" s="162"/>
      <c r="I79" s="163"/>
      <c r="J79" s="163"/>
      <c r="P79" s="163"/>
    </row>
    <row r="80" spans="1:26" s="164" customFormat="1" ht="78" customHeight="1" x14ac:dyDescent="0.2">
      <c r="A80" s="166">
        <f>MAX(A$14:A79)+1</f>
        <v>45</v>
      </c>
      <c r="B80" s="167" t="s">
        <v>324</v>
      </c>
      <c r="C80" s="153" t="s">
        <v>35</v>
      </c>
      <c r="D80" s="167" t="s">
        <v>325</v>
      </c>
      <c r="E80" s="168">
        <f>2592*(3.31+(5.02-3.31)* (1.712-1)/(2-1))*1.4* 0.5</f>
        <v>8214.7322879999974</v>
      </c>
      <c r="F80" s="169">
        <v>1</v>
      </c>
      <c r="G80" s="170">
        <f>ROUND(E80*F80,2)</f>
        <v>8214.73</v>
      </c>
      <c r="H80" s="162"/>
      <c r="I80" s="163"/>
      <c r="J80" s="163"/>
      <c r="P80" s="163"/>
    </row>
    <row r="81" spans="1:16" s="164" customFormat="1" ht="93.75" customHeight="1" x14ac:dyDescent="0.2">
      <c r="A81" s="166">
        <f>MAX(A$14:A80)+1</f>
        <v>46</v>
      </c>
      <c r="B81" s="167" t="s">
        <v>326</v>
      </c>
      <c r="C81" s="153" t="s">
        <v>35</v>
      </c>
      <c r="D81" s="167" t="s">
        <v>327</v>
      </c>
      <c r="E81" s="168">
        <f>2592*(13.35+(14.85-13.35)* (1.712-1)/(2-1))*1.38*3*0.5</f>
        <v>77358.913919999992</v>
      </c>
      <c r="F81" s="169">
        <v>1</v>
      </c>
      <c r="G81" s="170">
        <f>ROUND(E81*F81,2)</f>
        <v>77358.91</v>
      </c>
      <c r="H81" s="162"/>
      <c r="I81" s="163"/>
      <c r="J81" s="163"/>
      <c r="P81" s="163"/>
    </row>
    <row r="82" spans="1:16" s="164" customFormat="1" ht="64.5" customHeight="1" x14ac:dyDescent="0.2">
      <c r="A82" s="166">
        <f>MAX(A$14:A81)+1</f>
        <v>47</v>
      </c>
      <c r="B82" s="167" t="s">
        <v>328</v>
      </c>
      <c r="C82" s="153" t="s">
        <v>47</v>
      </c>
      <c r="D82" s="167" t="s">
        <v>329</v>
      </c>
      <c r="E82" s="168">
        <f>2592*37.35*0.5</f>
        <v>48405.599999999999</v>
      </c>
      <c r="F82" s="169">
        <v>1</v>
      </c>
      <c r="G82" s="170">
        <f>ROUND(E82*F82,2)</f>
        <v>48405.599999999999</v>
      </c>
      <c r="H82" s="162"/>
      <c r="I82" s="163"/>
      <c r="J82" s="163"/>
      <c r="P82" s="163"/>
    </row>
    <row r="83" spans="1:16" s="164" customFormat="1" x14ac:dyDescent="0.2">
      <c r="A83" s="166">
        <f>MAX(A$14:A82)+1</f>
        <v>48</v>
      </c>
      <c r="B83" s="535" t="s">
        <v>330</v>
      </c>
      <c r="C83" s="536"/>
      <c r="D83" s="536"/>
      <c r="E83" s="536"/>
      <c r="F83" s="537"/>
      <c r="G83" s="195">
        <f>SUM(G78:G82)</f>
        <v>175393.7</v>
      </c>
      <c r="H83" s="162"/>
      <c r="I83" s="163"/>
      <c r="J83" s="163"/>
      <c r="P83" s="163"/>
    </row>
    <row r="84" spans="1:16" s="164" customFormat="1" ht="21.75" customHeight="1" x14ac:dyDescent="0.2">
      <c r="A84" s="194"/>
      <c r="B84" s="532" t="s">
        <v>331</v>
      </c>
      <c r="C84" s="533"/>
      <c r="D84" s="533"/>
      <c r="E84" s="533"/>
      <c r="F84" s="533"/>
      <c r="G84" s="534"/>
      <c r="H84" s="162"/>
      <c r="I84" s="163"/>
      <c r="J84" s="163"/>
      <c r="P84" s="163"/>
    </row>
    <row r="85" spans="1:16" s="164" customFormat="1" ht="93.75" customHeight="1" x14ac:dyDescent="0.2">
      <c r="A85" s="166">
        <f>MAX(A$14:A83)+1</f>
        <v>49</v>
      </c>
      <c r="B85" s="167" t="s">
        <v>332</v>
      </c>
      <c r="C85" s="153" t="s">
        <v>35</v>
      </c>
      <c r="D85" s="167" t="s">
        <v>333</v>
      </c>
      <c r="E85" s="168">
        <f>2592*(4.42+2.81)*1.4*1.4*0.5</f>
        <v>18365.356799999998</v>
      </c>
      <c r="F85" s="169">
        <v>1</v>
      </c>
      <c r="G85" s="170">
        <f>ROUND(E85*F85,2)</f>
        <v>18365.36</v>
      </c>
      <c r="H85" s="162"/>
      <c r="I85" s="163"/>
      <c r="J85" s="163"/>
      <c r="P85" s="163"/>
    </row>
    <row r="86" spans="1:16" s="164" customFormat="1" ht="78" customHeight="1" x14ac:dyDescent="0.2">
      <c r="A86" s="166">
        <f>MAX(A$14:A85)+1</f>
        <v>50</v>
      </c>
      <c r="B86" s="167" t="s">
        <v>334</v>
      </c>
      <c r="C86" s="153" t="s">
        <v>35</v>
      </c>
      <c r="D86" s="167" t="s">
        <v>335</v>
      </c>
      <c r="E86" s="168">
        <f>2592*(5.56+(7.95-5.56)* (1.712-1)/(2-1))*0.5</f>
        <v>9411.1372800000008</v>
      </c>
      <c r="F86" s="169">
        <v>1</v>
      </c>
      <c r="G86" s="170">
        <f>ROUND(E86*F86,2)</f>
        <v>9411.14</v>
      </c>
      <c r="H86" s="162"/>
      <c r="I86" s="163"/>
      <c r="J86" s="163"/>
      <c r="P86" s="163"/>
    </row>
    <row r="87" spans="1:16" s="164" customFormat="1" ht="64.5" customHeight="1" x14ac:dyDescent="0.2">
      <c r="A87" s="166">
        <f>MAX(A$14:A86)+1</f>
        <v>51</v>
      </c>
      <c r="B87" s="167" t="s">
        <v>336</v>
      </c>
      <c r="C87" s="153" t="s">
        <v>47</v>
      </c>
      <c r="D87" s="167" t="s">
        <v>329</v>
      </c>
      <c r="E87" s="168">
        <f>2592*37.35*0.5</f>
        <v>48405.599999999999</v>
      </c>
      <c r="F87" s="169">
        <v>0.7</v>
      </c>
      <c r="G87" s="170">
        <f>ROUND(E87*F87,2)</f>
        <v>33883.919999999998</v>
      </c>
      <c r="H87" s="162"/>
      <c r="I87" s="163"/>
      <c r="J87" s="163"/>
      <c r="P87" s="163"/>
    </row>
    <row r="88" spans="1:16" s="164" customFormat="1" x14ac:dyDescent="0.2">
      <c r="A88" s="166">
        <f>MAX(A$14:A87)+1</f>
        <v>52</v>
      </c>
      <c r="B88" s="535" t="s">
        <v>337</v>
      </c>
      <c r="C88" s="536"/>
      <c r="D88" s="536"/>
      <c r="E88" s="536"/>
      <c r="F88" s="537"/>
      <c r="G88" s="195">
        <f>SUM(G85:G87)</f>
        <v>61660.42</v>
      </c>
      <c r="H88" s="162"/>
      <c r="I88" s="163"/>
      <c r="J88" s="163"/>
      <c r="P88" s="163"/>
    </row>
    <row r="89" spans="1:16" s="164" customFormat="1" x14ac:dyDescent="0.2">
      <c r="A89" s="166">
        <f>MAX(A$14:A88)+1</f>
        <v>53</v>
      </c>
      <c r="B89" s="196" t="s">
        <v>338</v>
      </c>
      <c r="C89" s="197"/>
      <c r="D89" s="198"/>
      <c r="E89" s="199"/>
      <c r="F89" s="200"/>
      <c r="G89" s="201">
        <f>G83+G88</f>
        <v>237054.12</v>
      </c>
      <c r="H89" s="162"/>
      <c r="I89" s="163"/>
      <c r="J89" s="163"/>
      <c r="P89" s="163"/>
    </row>
    <row r="90" spans="1:16" s="164" customFormat="1" ht="15" customHeight="1" x14ac:dyDescent="0.2">
      <c r="A90" s="187"/>
      <c r="B90" s="538" t="s">
        <v>55</v>
      </c>
      <c r="C90" s="539"/>
      <c r="D90" s="539"/>
      <c r="E90" s="539"/>
      <c r="F90" s="539"/>
      <c r="G90" s="540"/>
      <c r="H90" s="162"/>
      <c r="I90" s="163"/>
      <c r="J90" s="163"/>
      <c r="P90" s="163"/>
    </row>
    <row r="91" spans="1:16" s="164" customFormat="1" ht="15" customHeight="1" x14ac:dyDescent="0.2">
      <c r="A91" s="187"/>
      <c r="B91" s="538" t="s">
        <v>339</v>
      </c>
      <c r="C91" s="539"/>
      <c r="D91" s="539"/>
      <c r="E91" s="539"/>
      <c r="F91" s="539"/>
      <c r="G91" s="540"/>
      <c r="H91" s="162"/>
      <c r="I91" s="163"/>
      <c r="J91" s="163"/>
      <c r="P91" s="163"/>
    </row>
    <row r="92" spans="1:16" s="164" customFormat="1" ht="16.149999999999999" customHeight="1" x14ac:dyDescent="0.2">
      <c r="A92" s="187"/>
      <c r="B92" s="538" t="s">
        <v>56</v>
      </c>
      <c r="C92" s="539"/>
      <c r="D92" s="539"/>
      <c r="E92" s="539"/>
      <c r="F92" s="539"/>
      <c r="G92" s="540"/>
      <c r="H92" s="162"/>
      <c r="I92" s="163"/>
      <c r="J92" s="163"/>
      <c r="P92" s="163"/>
    </row>
    <row r="93" spans="1:16" s="164" customFormat="1" ht="76.5" customHeight="1" x14ac:dyDescent="0.2">
      <c r="A93" s="187">
        <f>MAX(A$14:A92)+1</f>
        <v>54</v>
      </c>
      <c r="B93" s="198" t="s">
        <v>340</v>
      </c>
      <c r="C93" s="197" t="s">
        <v>35</v>
      </c>
      <c r="D93" s="198" t="s">
        <v>341</v>
      </c>
      <c r="E93" s="199">
        <f xml:space="preserve"> 2592*(4.35+(5.71-4.35)*(1.712-1)/(2-1))*0.5</f>
        <v>6892.5427199999995</v>
      </c>
      <c r="F93" s="200">
        <v>1</v>
      </c>
      <c r="G93" s="202">
        <f>E93*F93</f>
        <v>6892.5427199999995</v>
      </c>
      <c r="H93" s="162"/>
      <c r="I93" s="163"/>
      <c r="J93" s="163"/>
      <c r="P93" s="163"/>
    </row>
    <row r="94" spans="1:16" s="164" customFormat="1" ht="77.25" customHeight="1" x14ac:dyDescent="0.2">
      <c r="A94" s="187">
        <f>MAX(A$14:A93)+1</f>
        <v>55</v>
      </c>
      <c r="B94" s="198" t="s">
        <v>342</v>
      </c>
      <c r="C94" s="197" t="s">
        <v>35</v>
      </c>
      <c r="D94" s="198" t="s">
        <v>343</v>
      </c>
      <c r="E94" s="199">
        <f>2592*(3.26+(5.02-3.26)*(1.712-1)/(2-1))*0.5</f>
        <v>5849.0035199999993</v>
      </c>
      <c r="F94" s="200">
        <v>1</v>
      </c>
      <c r="G94" s="202">
        <f>E94*F94</f>
        <v>5849.0035199999993</v>
      </c>
      <c r="H94" s="162"/>
      <c r="I94" s="163"/>
      <c r="J94" s="163"/>
      <c r="P94" s="163"/>
    </row>
    <row r="95" spans="1:16" s="164" customFormat="1" ht="89.25" customHeight="1" x14ac:dyDescent="0.2">
      <c r="A95" s="187">
        <f>MAX(A$14:A94)+1</f>
        <v>56</v>
      </c>
      <c r="B95" s="198" t="s">
        <v>344</v>
      </c>
      <c r="C95" s="197" t="s">
        <v>35</v>
      </c>
      <c r="D95" s="198" t="s">
        <v>345</v>
      </c>
      <c r="E95" s="199">
        <f>2592*(3.26+(5.02-3.26)*(1.712-1)/(2-1))*0.5</f>
        <v>5849.0035199999993</v>
      </c>
      <c r="F95" s="200">
        <v>1</v>
      </c>
      <c r="G95" s="202">
        <f>E95*F95</f>
        <v>5849.0035199999993</v>
      </c>
      <c r="H95" s="162"/>
      <c r="I95" s="163"/>
      <c r="J95" s="163"/>
      <c r="P95" s="163"/>
    </row>
    <row r="96" spans="1:16" s="164" customFormat="1" x14ac:dyDescent="0.2">
      <c r="A96" s="187">
        <f>MAX(A$14:A95)+1</f>
        <v>57</v>
      </c>
      <c r="B96" s="541" t="s">
        <v>57</v>
      </c>
      <c r="C96" s="542"/>
      <c r="D96" s="543"/>
      <c r="E96" s="199"/>
      <c r="F96" s="200"/>
      <c r="G96" s="201">
        <f>SUM(G93:G95)</f>
        <v>18590.549759999998</v>
      </c>
      <c r="H96" s="162"/>
      <c r="I96" s="163"/>
      <c r="J96" s="163"/>
      <c r="P96" s="163"/>
    </row>
    <row r="97" spans="1:16" s="164" customFormat="1" ht="19.149999999999999" customHeight="1" x14ac:dyDescent="0.2">
      <c r="A97" s="187"/>
      <c r="B97" s="531" t="s">
        <v>41</v>
      </c>
      <c r="C97" s="531"/>
      <c r="D97" s="531"/>
      <c r="E97" s="531"/>
      <c r="F97" s="531"/>
      <c r="G97" s="531"/>
      <c r="H97" s="162"/>
      <c r="I97" s="163"/>
      <c r="J97" s="163"/>
      <c r="P97" s="163"/>
    </row>
    <row r="98" spans="1:16" s="164" customFormat="1" ht="81.75" customHeight="1" x14ac:dyDescent="0.2">
      <c r="A98" s="187">
        <f>MAX(A$14:A97)+1</f>
        <v>58</v>
      </c>
      <c r="B98" s="198" t="s">
        <v>346</v>
      </c>
      <c r="C98" s="197" t="s">
        <v>40</v>
      </c>
      <c r="D98" s="198" t="s">
        <v>347</v>
      </c>
      <c r="E98" s="199">
        <f>2592*0.77*1.25*0.5</f>
        <v>1247.4000000000001</v>
      </c>
      <c r="F98" s="200">
        <v>24</v>
      </c>
      <c r="G98" s="202">
        <f>E98*F98</f>
        <v>29937.600000000002</v>
      </c>
      <c r="H98" s="162"/>
      <c r="I98" s="163"/>
      <c r="J98" s="163"/>
      <c r="P98" s="163"/>
    </row>
    <row r="99" spans="1:16" s="164" customFormat="1" ht="79.5" customHeight="1" x14ac:dyDescent="0.2">
      <c r="A99" s="187">
        <f>MAX(A$14:A98)+1</f>
        <v>59</v>
      </c>
      <c r="B99" s="198" t="s">
        <v>348</v>
      </c>
      <c r="C99" s="197" t="s">
        <v>40</v>
      </c>
      <c r="D99" s="198" t="s">
        <v>349</v>
      </c>
      <c r="E99" s="199">
        <f>2592*0.46*1.25*0.5</f>
        <v>745.2</v>
      </c>
      <c r="F99" s="200">
        <v>28</v>
      </c>
      <c r="G99" s="202">
        <f>E99*F99</f>
        <v>20865.600000000002</v>
      </c>
      <c r="H99" s="162"/>
      <c r="I99" s="163"/>
      <c r="J99" s="163"/>
      <c r="P99" s="163"/>
    </row>
    <row r="100" spans="1:16" s="164" customFormat="1" ht="20.25" customHeight="1" x14ac:dyDescent="0.2">
      <c r="A100" s="187">
        <f>MAX(A$14:A99)+1</f>
        <v>60</v>
      </c>
      <c r="B100" s="541" t="s">
        <v>42</v>
      </c>
      <c r="C100" s="542"/>
      <c r="D100" s="543"/>
      <c r="E100" s="199"/>
      <c r="F100" s="200"/>
      <c r="G100" s="201">
        <f>SUM(G98:G99)</f>
        <v>50803.200000000004</v>
      </c>
      <c r="H100" s="162"/>
      <c r="I100" s="163"/>
      <c r="J100" s="163"/>
      <c r="P100" s="163"/>
    </row>
    <row r="101" spans="1:16" s="164" customFormat="1" x14ac:dyDescent="0.2">
      <c r="A101" s="187"/>
      <c r="B101" s="531" t="s">
        <v>350</v>
      </c>
      <c r="C101" s="531"/>
      <c r="D101" s="531"/>
      <c r="E101" s="531"/>
      <c r="F101" s="531"/>
      <c r="G101" s="531"/>
      <c r="H101" s="162"/>
      <c r="I101" s="163"/>
      <c r="J101" s="163"/>
      <c r="P101" s="163"/>
    </row>
    <row r="102" spans="1:16" s="164" customFormat="1" ht="77.25" customHeight="1" x14ac:dyDescent="0.2">
      <c r="A102" s="187">
        <f>MAX(A$14:A101)+1</f>
        <v>61</v>
      </c>
      <c r="B102" s="198" t="s">
        <v>351</v>
      </c>
      <c r="C102" s="197" t="s">
        <v>40</v>
      </c>
      <c r="D102" s="198" t="s">
        <v>352</v>
      </c>
      <c r="E102" s="199">
        <f>2592*0.81*1.25*0.5</f>
        <v>1312.2</v>
      </c>
      <c r="F102" s="200">
        <v>28</v>
      </c>
      <c r="G102" s="202">
        <f>E102*F102</f>
        <v>36741.599999999999</v>
      </c>
      <c r="H102" s="162"/>
      <c r="I102" s="163"/>
      <c r="J102" s="163"/>
      <c r="P102" s="163"/>
    </row>
    <row r="103" spans="1:16" s="164" customFormat="1" ht="77.25" customHeight="1" x14ac:dyDescent="0.2">
      <c r="A103" s="187">
        <f>MAX(A$14:A102)+1</f>
        <v>62</v>
      </c>
      <c r="B103" s="198" t="s">
        <v>353</v>
      </c>
      <c r="C103" s="197" t="s">
        <v>40</v>
      </c>
      <c r="D103" s="198" t="s">
        <v>354</v>
      </c>
      <c r="E103" s="199">
        <f>2592*0.74*1.25*0.5</f>
        <v>1198.8</v>
      </c>
      <c r="F103" s="200">
        <v>28</v>
      </c>
      <c r="G103" s="202">
        <f>E103*F103</f>
        <v>33566.400000000001</v>
      </c>
      <c r="H103" s="162"/>
      <c r="I103" s="163"/>
      <c r="J103" s="163"/>
      <c r="P103" s="163"/>
    </row>
    <row r="104" spans="1:16" s="164" customFormat="1" ht="31.5" customHeight="1" x14ac:dyDescent="0.2">
      <c r="A104" s="187">
        <f>MAX(A$14:A103)+1</f>
        <v>63</v>
      </c>
      <c r="B104" s="541" t="s">
        <v>355</v>
      </c>
      <c r="C104" s="542"/>
      <c r="D104" s="542"/>
      <c r="E104" s="542"/>
      <c r="F104" s="543"/>
      <c r="G104" s="201">
        <f>SUM(G102:G103)</f>
        <v>70308</v>
      </c>
      <c r="H104" s="162"/>
      <c r="I104" s="163"/>
      <c r="J104" s="163"/>
      <c r="P104" s="163"/>
    </row>
    <row r="105" spans="1:16" s="164" customFormat="1" x14ac:dyDescent="0.2">
      <c r="A105" s="187">
        <f>MAX(A$14:A104)+1</f>
        <v>64</v>
      </c>
      <c r="B105" s="196" t="s">
        <v>356</v>
      </c>
      <c r="C105" s="197"/>
      <c r="D105" s="198"/>
      <c r="E105" s="199"/>
      <c r="F105" s="200"/>
      <c r="G105" s="201">
        <f>G96+G100+G104</f>
        <v>139701.74976000001</v>
      </c>
      <c r="H105" s="162"/>
      <c r="I105" s="163"/>
      <c r="J105" s="163"/>
      <c r="P105" s="163"/>
    </row>
    <row r="106" spans="1:16" s="164" customFormat="1" x14ac:dyDescent="0.2">
      <c r="A106" s="203"/>
      <c r="B106" s="544" t="s">
        <v>357</v>
      </c>
      <c r="C106" s="544"/>
      <c r="D106" s="544"/>
      <c r="E106" s="544"/>
      <c r="F106" s="544"/>
      <c r="G106" s="544"/>
      <c r="H106" s="162"/>
      <c r="I106" s="163"/>
      <c r="J106" s="163"/>
      <c r="P106" s="163"/>
    </row>
    <row r="107" spans="1:16" s="164" customFormat="1" ht="76.5" customHeight="1" x14ac:dyDescent="0.2">
      <c r="A107" s="187">
        <f>MAX(A$14:A106)+1</f>
        <v>65</v>
      </c>
      <c r="B107" s="198" t="s">
        <v>358</v>
      </c>
      <c r="C107" s="197" t="s">
        <v>40</v>
      </c>
      <c r="D107" s="198" t="s">
        <v>359</v>
      </c>
      <c r="E107" s="199">
        <f>2592*2.42*1.3*0.5</f>
        <v>4077.2159999999999</v>
      </c>
      <c r="F107" s="200">
        <v>24</v>
      </c>
      <c r="G107" s="202">
        <f>E107*F107</f>
        <v>97853.183999999994</v>
      </c>
      <c r="H107" s="162"/>
      <c r="I107" s="163"/>
      <c r="J107" s="163"/>
      <c r="P107" s="163"/>
    </row>
    <row r="108" spans="1:16" s="164" customFormat="1" ht="76.5" customHeight="1" x14ac:dyDescent="0.2">
      <c r="A108" s="187">
        <f>MAX(A$14:A107)+1</f>
        <v>66</v>
      </c>
      <c r="B108" s="198" t="s">
        <v>360</v>
      </c>
      <c r="C108" s="197" t="s">
        <v>40</v>
      </c>
      <c r="D108" s="198" t="s">
        <v>361</v>
      </c>
      <c r="E108" s="199">
        <f>2592*1.97*1.3*0.5</f>
        <v>3319.056</v>
      </c>
      <c r="F108" s="200">
        <v>16</v>
      </c>
      <c r="G108" s="202">
        <f>E108*F108</f>
        <v>53104.896000000001</v>
      </c>
      <c r="H108" s="162"/>
      <c r="I108" s="163"/>
      <c r="J108" s="163"/>
      <c r="P108" s="163"/>
    </row>
    <row r="109" spans="1:16" s="164" customFormat="1" ht="92.25" customHeight="1" x14ac:dyDescent="0.2">
      <c r="A109" s="187">
        <f>MAX(A$14:A108)+1</f>
        <v>67</v>
      </c>
      <c r="B109" s="198" t="s">
        <v>362</v>
      </c>
      <c r="C109" s="197" t="s">
        <v>47</v>
      </c>
      <c r="D109" s="198" t="s">
        <v>311</v>
      </c>
      <c r="E109" s="199">
        <f>2592*37.35*0.5</f>
        <v>48405.599999999999</v>
      </c>
      <c r="F109" s="200">
        <v>0.2</v>
      </c>
      <c r="G109" s="202">
        <f>E109*F109</f>
        <v>9681.1200000000008</v>
      </c>
      <c r="H109" s="162"/>
      <c r="I109" s="163"/>
      <c r="J109" s="163"/>
      <c r="P109" s="163"/>
    </row>
    <row r="110" spans="1:16" s="164" customFormat="1" x14ac:dyDescent="0.2">
      <c r="A110" s="187">
        <f>MAX(A$14:A109)+1</f>
        <v>68</v>
      </c>
      <c r="B110" s="196" t="s">
        <v>363</v>
      </c>
      <c r="C110" s="197"/>
      <c r="D110" s="198"/>
      <c r="E110" s="199"/>
      <c r="F110" s="200"/>
      <c r="G110" s="201">
        <f>SUM(G107:G109)</f>
        <v>160639.19999999998</v>
      </c>
      <c r="H110" s="162"/>
      <c r="I110" s="163"/>
      <c r="J110" s="163"/>
      <c r="P110" s="163"/>
    </row>
    <row r="111" spans="1:16" s="164" customFormat="1" x14ac:dyDescent="0.2">
      <c r="A111" s="187"/>
      <c r="B111" s="531" t="s">
        <v>364</v>
      </c>
      <c r="C111" s="531"/>
      <c r="D111" s="531"/>
      <c r="E111" s="531"/>
      <c r="F111" s="531"/>
      <c r="G111" s="531"/>
      <c r="H111" s="162"/>
      <c r="I111" s="163"/>
      <c r="J111" s="163"/>
      <c r="P111" s="163"/>
    </row>
    <row r="112" spans="1:16" s="164" customFormat="1" ht="55.5" customHeight="1" x14ac:dyDescent="0.2">
      <c r="A112" s="187">
        <f>MAX(A$14:A110)+1</f>
        <v>69</v>
      </c>
      <c r="B112" s="198" t="s">
        <v>365</v>
      </c>
      <c r="C112" s="197" t="s">
        <v>47</v>
      </c>
      <c r="D112" s="198" t="s">
        <v>58</v>
      </c>
      <c r="E112" s="199">
        <f>2592* 37.35</f>
        <v>96811.199999999997</v>
      </c>
      <c r="F112" s="200">
        <v>0.2</v>
      </c>
      <c r="G112" s="202">
        <f>E112*F112</f>
        <v>19362.240000000002</v>
      </c>
      <c r="H112" s="162"/>
      <c r="I112" s="163"/>
      <c r="J112" s="163"/>
      <c r="P112" s="163"/>
    </row>
    <row r="113" spans="1:16" s="164" customFormat="1" ht="45" x14ac:dyDescent="0.2">
      <c r="A113" s="187">
        <f>MAX(A$14:A111)+1</f>
        <v>69</v>
      </c>
      <c r="B113" s="198" t="s">
        <v>366</v>
      </c>
      <c r="C113" s="197" t="s">
        <v>51</v>
      </c>
      <c r="D113" s="198" t="s">
        <v>52</v>
      </c>
      <c r="E113" s="199">
        <f>2592* 0.82</f>
        <v>2125.44</v>
      </c>
      <c r="F113" s="200">
        <v>28</v>
      </c>
      <c r="G113" s="202">
        <f>E113*F113</f>
        <v>59512.32</v>
      </c>
      <c r="H113" s="162"/>
      <c r="I113" s="163"/>
      <c r="J113" s="163"/>
      <c r="P113" s="163"/>
    </row>
    <row r="114" spans="1:16" s="164" customFormat="1" ht="45" x14ac:dyDescent="0.2">
      <c r="A114" s="187">
        <f>MAX(A$14:A112)+1</f>
        <v>70</v>
      </c>
      <c r="B114" s="198" t="s">
        <v>367</v>
      </c>
      <c r="C114" s="197" t="s">
        <v>51</v>
      </c>
      <c r="D114" s="198" t="s">
        <v>53</v>
      </c>
      <c r="E114" s="199">
        <f>2592* 1.03</f>
        <v>2669.76</v>
      </c>
      <c r="F114" s="200">
        <v>22</v>
      </c>
      <c r="G114" s="202">
        <f>E114*F114</f>
        <v>58734.720000000001</v>
      </c>
      <c r="H114" s="162"/>
      <c r="I114" s="163"/>
      <c r="J114" s="163"/>
      <c r="P114" s="163"/>
    </row>
    <row r="115" spans="1:16" s="164" customFormat="1" ht="30" x14ac:dyDescent="0.2">
      <c r="A115" s="187">
        <f>MAX(A$14:A114)+1</f>
        <v>71</v>
      </c>
      <c r="B115" s="196" t="s">
        <v>54</v>
      </c>
      <c r="C115" s="197"/>
      <c r="D115" s="198"/>
      <c r="E115" s="199"/>
      <c r="F115" s="200"/>
      <c r="G115" s="201">
        <f>SUM(G112:G114)</f>
        <v>137609.28</v>
      </c>
      <c r="H115" s="162"/>
      <c r="I115" s="163"/>
      <c r="J115" s="163"/>
      <c r="P115" s="163"/>
    </row>
    <row r="116" spans="1:16" s="164" customFormat="1" x14ac:dyDescent="0.2">
      <c r="A116" s="187">
        <f>MAX(A$14:A115)+1</f>
        <v>72</v>
      </c>
      <c r="B116" s="196" t="s">
        <v>59</v>
      </c>
      <c r="C116" s="197"/>
      <c r="D116" s="198"/>
      <c r="E116" s="199"/>
      <c r="F116" s="200"/>
      <c r="G116" s="201">
        <f>G96+G100+G104+G110+G115</f>
        <v>437950.22976000002</v>
      </c>
      <c r="H116" s="162"/>
      <c r="I116" s="163"/>
      <c r="J116" s="163"/>
      <c r="P116" s="163"/>
    </row>
    <row r="117" spans="1:16" s="164" customFormat="1" x14ac:dyDescent="0.2">
      <c r="A117" s="187">
        <f>MAX(A$14:A116)+1</f>
        <v>73</v>
      </c>
      <c r="B117" s="196" t="s">
        <v>368</v>
      </c>
      <c r="C117" s="197"/>
      <c r="D117" s="198"/>
      <c r="E117" s="199"/>
      <c r="F117" s="200"/>
      <c r="G117" s="201">
        <f>G33+G75+G89+G116</f>
        <v>1107185.0913077199</v>
      </c>
      <c r="H117" s="162"/>
      <c r="I117" s="163"/>
      <c r="J117" s="163"/>
      <c r="P117" s="163"/>
    </row>
    <row r="118" spans="1:16" s="207" customFormat="1" x14ac:dyDescent="0.25">
      <c r="A118" s="204"/>
      <c r="B118" s="528"/>
      <c r="C118" s="528"/>
      <c r="D118" s="528"/>
      <c r="E118" s="529"/>
      <c r="F118" s="529"/>
      <c r="G118" s="529"/>
      <c r="H118" s="529"/>
      <c r="I118" s="529"/>
      <c r="J118" s="205"/>
      <c r="K118" s="205"/>
      <c r="L118" s="205"/>
      <c r="M118" s="206"/>
    </row>
    <row r="119" spans="1:16" s="17" customFormat="1" x14ac:dyDescent="0.25">
      <c r="A119" s="147"/>
      <c r="B119" s="530"/>
      <c r="C119" s="530"/>
      <c r="D119" s="530"/>
      <c r="E119" s="413"/>
      <c r="F119" s="413"/>
      <c r="G119" s="413"/>
    </row>
  </sheetData>
  <mergeCells count="54">
    <mergeCell ref="B18:G18"/>
    <mergeCell ref="A1:M1"/>
    <mergeCell ref="A2:M2"/>
    <mergeCell ref="A3:M3"/>
    <mergeCell ref="A5:B8"/>
    <mergeCell ref="C5:M8"/>
    <mergeCell ref="A9:B10"/>
    <mergeCell ref="C9:M10"/>
    <mergeCell ref="A11:B12"/>
    <mergeCell ref="C11:M12"/>
    <mergeCell ref="B15:G15"/>
    <mergeCell ref="B16:G16"/>
    <mergeCell ref="B17:G17"/>
    <mergeCell ref="B43:F43"/>
    <mergeCell ref="B19:G19"/>
    <mergeCell ref="B20:G20"/>
    <mergeCell ref="B21:G21"/>
    <mergeCell ref="B22:G22"/>
    <mergeCell ref="B23:G23"/>
    <mergeCell ref="A24:G24"/>
    <mergeCell ref="B25:G25"/>
    <mergeCell ref="B33:F33"/>
    <mergeCell ref="A34:G34"/>
    <mergeCell ref="B35:G35"/>
    <mergeCell ref="B36:G36"/>
    <mergeCell ref="B83:F83"/>
    <mergeCell ref="B44:G44"/>
    <mergeCell ref="B49:F49"/>
    <mergeCell ref="B50:G50"/>
    <mergeCell ref="B52:F52"/>
    <mergeCell ref="B62:F62"/>
    <mergeCell ref="B63:G63"/>
    <mergeCell ref="B68:F68"/>
    <mergeCell ref="B69:G69"/>
    <mergeCell ref="B74:F74"/>
    <mergeCell ref="B76:G76"/>
    <mergeCell ref="B77:G77"/>
    <mergeCell ref="B111:G111"/>
    <mergeCell ref="B84:G84"/>
    <mergeCell ref="B88:F88"/>
    <mergeCell ref="B90:G90"/>
    <mergeCell ref="B91:G91"/>
    <mergeCell ref="B92:G92"/>
    <mergeCell ref="B96:D96"/>
    <mergeCell ref="B97:G97"/>
    <mergeCell ref="B100:D100"/>
    <mergeCell ref="B101:G101"/>
    <mergeCell ref="B104:F104"/>
    <mergeCell ref="B106:G106"/>
    <mergeCell ref="B118:D118"/>
    <mergeCell ref="E118:G118"/>
    <mergeCell ref="H118:I118"/>
    <mergeCell ref="B119:D119"/>
    <mergeCell ref="E119:G119"/>
  </mergeCells>
  <pageMargins left="0.62992125984251968" right="0" top="0.82677165354330717" bottom="0.51181102362204722" header="0.31496062992125984" footer="0.31496062992125984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85"/>
  <sheetViews>
    <sheetView view="pageBreakPreview" topLeftCell="A76" zoomScale="125" zoomScaleNormal="100" workbookViewId="0">
      <selection activeCell="B34" sqref="B34"/>
    </sheetView>
  </sheetViews>
  <sheetFormatPr defaultRowHeight="15" x14ac:dyDescent="0.2"/>
  <cols>
    <col min="1" max="1" width="4.7109375" style="203" customWidth="1"/>
    <col min="2" max="2" width="35.42578125" style="295" customWidth="1"/>
    <col min="3" max="3" width="8.28515625" style="296" customWidth="1"/>
    <col min="4" max="4" width="16.140625" style="296" customWidth="1"/>
    <col min="5" max="5" width="11.42578125" style="297" customWidth="1"/>
    <col min="6" max="6" width="5" style="298" customWidth="1"/>
    <col min="7" max="7" width="14.28515625" style="299" customWidth="1"/>
    <col min="8" max="8" width="41.28515625" style="273" hidden="1" customWidth="1"/>
    <col min="9" max="9" width="16.42578125" style="164" hidden="1" customWidth="1"/>
    <col min="10" max="10" width="9.140625" style="164" hidden="1" customWidth="1"/>
    <col min="11" max="12" width="13" style="164" hidden="1" customWidth="1"/>
    <col min="13" max="13" width="14.42578125" style="164" customWidth="1"/>
    <col min="14" max="256" width="9.140625" style="164"/>
    <col min="257" max="257" width="4.7109375" style="164" customWidth="1"/>
    <col min="258" max="258" width="35.42578125" style="164" customWidth="1"/>
    <col min="259" max="259" width="8.28515625" style="164" customWidth="1"/>
    <col min="260" max="260" width="16.140625" style="164" customWidth="1"/>
    <col min="261" max="261" width="11.42578125" style="164" customWidth="1"/>
    <col min="262" max="262" width="5" style="164" customWidth="1"/>
    <col min="263" max="263" width="14.28515625" style="164" customWidth="1"/>
    <col min="264" max="268" width="0" style="164" hidden="1" customWidth="1"/>
    <col min="269" max="269" width="14.42578125" style="164" customWidth="1"/>
    <col min="270" max="512" width="9.140625" style="164"/>
    <col min="513" max="513" width="4.7109375" style="164" customWidth="1"/>
    <col min="514" max="514" width="35.42578125" style="164" customWidth="1"/>
    <col min="515" max="515" width="8.28515625" style="164" customWidth="1"/>
    <col min="516" max="516" width="16.140625" style="164" customWidth="1"/>
    <col min="517" max="517" width="11.42578125" style="164" customWidth="1"/>
    <col min="518" max="518" width="5" style="164" customWidth="1"/>
    <col min="519" max="519" width="14.28515625" style="164" customWidth="1"/>
    <col min="520" max="524" width="0" style="164" hidden="1" customWidth="1"/>
    <col min="525" max="525" width="14.42578125" style="164" customWidth="1"/>
    <col min="526" max="768" width="9.140625" style="164"/>
    <col min="769" max="769" width="4.7109375" style="164" customWidth="1"/>
    <col min="770" max="770" width="35.42578125" style="164" customWidth="1"/>
    <col min="771" max="771" width="8.28515625" style="164" customWidth="1"/>
    <col min="772" max="772" width="16.140625" style="164" customWidth="1"/>
    <col min="773" max="773" width="11.42578125" style="164" customWidth="1"/>
    <col min="774" max="774" width="5" style="164" customWidth="1"/>
    <col min="775" max="775" width="14.28515625" style="164" customWidth="1"/>
    <col min="776" max="780" width="0" style="164" hidden="1" customWidth="1"/>
    <col min="781" max="781" width="14.42578125" style="164" customWidth="1"/>
    <col min="782" max="1024" width="9.140625" style="164"/>
    <col min="1025" max="1025" width="4.7109375" style="164" customWidth="1"/>
    <col min="1026" max="1026" width="35.42578125" style="164" customWidth="1"/>
    <col min="1027" max="1027" width="8.28515625" style="164" customWidth="1"/>
    <col min="1028" max="1028" width="16.140625" style="164" customWidth="1"/>
    <col min="1029" max="1029" width="11.42578125" style="164" customWidth="1"/>
    <col min="1030" max="1030" width="5" style="164" customWidth="1"/>
    <col min="1031" max="1031" width="14.28515625" style="164" customWidth="1"/>
    <col min="1032" max="1036" width="0" style="164" hidden="1" customWidth="1"/>
    <col min="1037" max="1037" width="14.42578125" style="164" customWidth="1"/>
    <col min="1038" max="1280" width="9.140625" style="164"/>
    <col min="1281" max="1281" width="4.7109375" style="164" customWidth="1"/>
    <col min="1282" max="1282" width="35.42578125" style="164" customWidth="1"/>
    <col min="1283" max="1283" width="8.28515625" style="164" customWidth="1"/>
    <col min="1284" max="1284" width="16.140625" style="164" customWidth="1"/>
    <col min="1285" max="1285" width="11.42578125" style="164" customWidth="1"/>
    <col min="1286" max="1286" width="5" style="164" customWidth="1"/>
    <col min="1287" max="1287" width="14.28515625" style="164" customWidth="1"/>
    <col min="1288" max="1292" width="0" style="164" hidden="1" customWidth="1"/>
    <col min="1293" max="1293" width="14.42578125" style="164" customWidth="1"/>
    <col min="1294" max="1536" width="9.140625" style="164"/>
    <col min="1537" max="1537" width="4.7109375" style="164" customWidth="1"/>
    <col min="1538" max="1538" width="35.42578125" style="164" customWidth="1"/>
    <col min="1539" max="1539" width="8.28515625" style="164" customWidth="1"/>
    <col min="1540" max="1540" width="16.140625" style="164" customWidth="1"/>
    <col min="1541" max="1541" width="11.42578125" style="164" customWidth="1"/>
    <col min="1542" max="1542" width="5" style="164" customWidth="1"/>
    <col min="1543" max="1543" width="14.28515625" style="164" customWidth="1"/>
    <col min="1544" max="1548" width="0" style="164" hidden="1" customWidth="1"/>
    <col min="1549" max="1549" width="14.42578125" style="164" customWidth="1"/>
    <col min="1550" max="1792" width="9.140625" style="164"/>
    <col min="1793" max="1793" width="4.7109375" style="164" customWidth="1"/>
    <col min="1794" max="1794" width="35.42578125" style="164" customWidth="1"/>
    <col min="1795" max="1795" width="8.28515625" style="164" customWidth="1"/>
    <col min="1796" max="1796" width="16.140625" style="164" customWidth="1"/>
    <col min="1797" max="1797" width="11.42578125" style="164" customWidth="1"/>
    <col min="1798" max="1798" width="5" style="164" customWidth="1"/>
    <col min="1799" max="1799" width="14.28515625" style="164" customWidth="1"/>
    <col min="1800" max="1804" width="0" style="164" hidden="1" customWidth="1"/>
    <col min="1805" max="1805" width="14.42578125" style="164" customWidth="1"/>
    <col min="1806" max="2048" width="9.140625" style="164"/>
    <col min="2049" max="2049" width="4.7109375" style="164" customWidth="1"/>
    <col min="2050" max="2050" width="35.42578125" style="164" customWidth="1"/>
    <col min="2051" max="2051" width="8.28515625" style="164" customWidth="1"/>
    <col min="2052" max="2052" width="16.140625" style="164" customWidth="1"/>
    <col min="2053" max="2053" width="11.42578125" style="164" customWidth="1"/>
    <col min="2054" max="2054" width="5" style="164" customWidth="1"/>
    <col min="2055" max="2055" width="14.28515625" style="164" customWidth="1"/>
    <col min="2056" max="2060" width="0" style="164" hidden="1" customWidth="1"/>
    <col min="2061" max="2061" width="14.42578125" style="164" customWidth="1"/>
    <col min="2062" max="2304" width="9.140625" style="164"/>
    <col min="2305" max="2305" width="4.7109375" style="164" customWidth="1"/>
    <col min="2306" max="2306" width="35.42578125" style="164" customWidth="1"/>
    <col min="2307" max="2307" width="8.28515625" style="164" customWidth="1"/>
    <col min="2308" max="2308" width="16.140625" style="164" customWidth="1"/>
    <col min="2309" max="2309" width="11.42578125" style="164" customWidth="1"/>
    <col min="2310" max="2310" width="5" style="164" customWidth="1"/>
    <col min="2311" max="2311" width="14.28515625" style="164" customWidth="1"/>
    <col min="2312" max="2316" width="0" style="164" hidden="1" customWidth="1"/>
    <col min="2317" max="2317" width="14.42578125" style="164" customWidth="1"/>
    <col min="2318" max="2560" width="9.140625" style="164"/>
    <col min="2561" max="2561" width="4.7109375" style="164" customWidth="1"/>
    <col min="2562" max="2562" width="35.42578125" style="164" customWidth="1"/>
    <col min="2563" max="2563" width="8.28515625" style="164" customWidth="1"/>
    <col min="2564" max="2564" width="16.140625" style="164" customWidth="1"/>
    <col min="2565" max="2565" width="11.42578125" style="164" customWidth="1"/>
    <col min="2566" max="2566" width="5" style="164" customWidth="1"/>
    <col min="2567" max="2567" width="14.28515625" style="164" customWidth="1"/>
    <col min="2568" max="2572" width="0" style="164" hidden="1" customWidth="1"/>
    <col min="2573" max="2573" width="14.42578125" style="164" customWidth="1"/>
    <col min="2574" max="2816" width="9.140625" style="164"/>
    <col min="2817" max="2817" width="4.7109375" style="164" customWidth="1"/>
    <col min="2818" max="2818" width="35.42578125" style="164" customWidth="1"/>
    <col min="2819" max="2819" width="8.28515625" style="164" customWidth="1"/>
    <col min="2820" max="2820" width="16.140625" style="164" customWidth="1"/>
    <col min="2821" max="2821" width="11.42578125" style="164" customWidth="1"/>
    <col min="2822" max="2822" width="5" style="164" customWidth="1"/>
    <col min="2823" max="2823" width="14.28515625" style="164" customWidth="1"/>
    <col min="2824" max="2828" width="0" style="164" hidden="1" customWidth="1"/>
    <col min="2829" max="2829" width="14.42578125" style="164" customWidth="1"/>
    <col min="2830" max="3072" width="9.140625" style="164"/>
    <col min="3073" max="3073" width="4.7109375" style="164" customWidth="1"/>
    <col min="3074" max="3074" width="35.42578125" style="164" customWidth="1"/>
    <col min="3075" max="3075" width="8.28515625" style="164" customWidth="1"/>
    <col min="3076" max="3076" width="16.140625" style="164" customWidth="1"/>
    <col min="3077" max="3077" width="11.42578125" style="164" customWidth="1"/>
    <col min="3078" max="3078" width="5" style="164" customWidth="1"/>
    <col min="3079" max="3079" width="14.28515625" style="164" customWidth="1"/>
    <col min="3080" max="3084" width="0" style="164" hidden="1" customWidth="1"/>
    <col min="3085" max="3085" width="14.42578125" style="164" customWidth="1"/>
    <col min="3086" max="3328" width="9.140625" style="164"/>
    <col min="3329" max="3329" width="4.7109375" style="164" customWidth="1"/>
    <col min="3330" max="3330" width="35.42578125" style="164" customWidth="1"/>
    <col min="3331" max="3331" width="8.28515625" style="164" customWidth="1"/>
    <col min="3332" max="3332" width="16.140625" style="164" customWidth="1"/>
    <col min="3333" max="3333" width="11.42578125" style="164" customWidth="1"/>
    <col min="3334" max="3334" width="5" style="164" customWidth="1"/>
    <col min="3335" max="3335" width="14.28515625" style="164" customWidth="1"/>
    <col min="3336" max="3340" width="0" style="164" hidden="1" customWidth="1"/>
    <col min="3341" max="3341" width="14.42578125" style="164" customWidth="1"/>
    <col min="3342" max="3584" width="9.140625" style="164"/>
    <col min="3585" max="3585" width="4.7109375" style="164" customWidth="1"/>
    <col min="3586" max="3586" width="35.42578125" style="164" customWidth="1"/>
    <col min="3587" max="3587" width="8.28515625" style="164" customWidth="1"/>
    <col min="3588" max="3588" width="16.140625" style="164" customWidth="1"/>
    <col min="3589" max="3589" width="11.42578125" style="164" customWidth="1"/>
    <col min="3590" max="3590" width="5" style="164" customWidth="1"/>
    <col min="3591" max="3591" width="14.28515625" style="164" customWidth="1"/>
    <col min="3592" max="3596" width="0" style="164" hidden="1" customWidth="1"/>
    <col min="3597" max="3597" width="14.42578125" style="164" customWidth="1"/>
    <col min="3598" max="3840" width="9.140625" style="164"/>
    <col min="3841" max="3841" width="4.7109375" style="164" customWidth="1"/>
    <col min="3842" max="3842" width="35.42578125" style="164" customWidth="1"/>
    <col min="3843" max="3843" width="8.28515625" style="164" customWidth="1"/>
    <col min="3844" max="3844" width="16.140625" style="164" customWidth="1"/>
    <col min="3845" max="3845" width="11.42578125" style="164" customWidth="1"/>
    <col min="3846" max="3846" width="5" style="164" customWidth="1"/>
    <col min="3847" max="3847" width="14.28515625" style="164" customWidth="1"/>
    <col min="3848" max="3852" width="0" style="164" hidden="1" customWidth="1"/>
    <col min="3853" max="3853" width="14.42578125" style="164" customWidth="1"/>
    <col min="3854" max="4096" width="9.140625" style="164"/>
    <col min="4097" max="4097" width="4.7109375" style="164" customWidth="1"/>
    <col min="4098" max="4098" width="35.42578125" style="164" customWidth="1"/>
    <col min="4099" max="4099" width="8.28515625" style="164" customWidth="1"/>
    <col min="4100" max="4100" width="16.140625" style="164" customWidth="1"/>
    <col min="4101" max="4101" width="11.42578125" style="164" customWidth="1"/>
    <col min="4102" max="4102" width="5" style="164" customWidth="1"/>
    <col min="4103" max="4103" width="14.28515625" style="164" customWidth="1"/>
    <col min="4104" max="4108" width="0" style="164" hidden="1" customWidth="1"/>
    <col min="4109" max="4109" width="14.42578125" style="164" customWidth="1"/>
    <col min="4110" max="4352" width="9.140625" style="164"/>
    <col min="4353" max="4353" width="4.7109375" style="164" customWidth="1"/>
    <col min="4354" max="4354" width="35.42578125" style="164" customWidth="1"/>
    <col min="4355" max="4355" width="8.28515625" style="164" customWidth="1"/>
    <col min="4356" max="4356" width="16.140625" style="164" customWidth="1"/>
    <col min="4357" max="4357" width="11.42578125" style="164" customWidth="1"/>
    <col min="4358" max="4358" width="5" style="164" customWidth="1"/>
    <col min="4359" max="4359" width="14.28515625" style="164" customWidth="1"/>
    <col min="4360" max="4364" width="0" style="164" hidden="1" customWidth="1"/>
    <col min="4365" max="4365" width="14.42578125" style="164" customWidth="1"/>
    <col min="4366" max="4608" width="9.140625" style="164"/>
    <col min="4609" max="4609" width="4.7109375" style="164" customWidth="1"/>
    <col min="4610" max="4610" width="35.42578125" style="164" customWidth="1"/>
    <col min="4611" max="4611" width="8.28515625" style="164" customWidth="1"/>
    <col min="4612" max="4612" width="16.140625" style="164" customWidth="1"/>
    <col min="4613" max="4613" width="11.42578125" style="164" customWidth="1"/>
    <col min="4614" max="4614" width="5" style="164" customWidth="1"/>
    <col min="4615" max="4615" width="14.28515625" style="164" customWidth="1"/>
    <col min="4616" max="4620" width="0" style="164" hidden="1" customWidth="1"/>
    <col min="4621" max="4621" width="14.42578125" style="164" customWidth="1"/>
    <col min="4622" max="4864" width="9.140625" style="164"/>
    <col min="4865" max="4865" width="4.7109375" style="164" customWidth="1"/>
    <col min="4866" max="4866" width="35.42578125" style="164" customWidth="1"/>
    <col min="4867" max="4867" width="8.28515625" style="164" customWidth="1"/>
    <col min="4868" max="4868" width="16.140625" style="164" customWidth="1"/>
    <col min="4869" max="4869" width="11.42578125" style="164" customWidth="1"/>
    <col min="4870" max="4870" width="5" style="164" customWidth="1"/>
    <col min="4871" max="4871" width="14.28515625" style="164" customWidth="1"/>
    <col min="4872" max="4876" width="0" style="164" hidden="1" customWidth="1"/>
    <col min="4877" max="4877" width="14.42578125" style="164" customWidth="1"/>
    <col min="4878" max="5120" width="9.140625" style="164"/>
    <col min="5121" max="5121" width="4.7109375" style="164" customWidth="1"/>
    <col min="5122" max="5122" width="35.42578125" style="164" customWidth="1"/>
    <col min="5123" max="5123" width="8.28515625" style="164" customWidth="1"/>
    <col min="5124" max="5124" width="16.140625" style="164" customWidth="1"/>
    <col min="5125" max="5125" width="11.42578125" style="164" customWidth="1"/>
    <col min="5126" max="5126" width="5" style="164" customWidth="1"/>
    <col min="5127" max="5127" width="14.28515625" style="164" customWidth="1"/>
    <col min="5128" max="5132" width="0" style="164" hidden="1" customWidth="1"/>
    <col min="5133" max="5133" width="14.42578125" style="164" customWidth="1"/>
    <col min="5134" max="5376" width="9.140625" style="164"/>
    <col min="5377" max="5377" width="4.7109375" style="164" customWidth="1"/>
    <col min="5378" max="5378" width="35.42578125" style="164" customWidth="1"/>
    <col min="5379" max="5379" width="8.28515625" style="164" customWidth="1"/>
    <col min="5380" max="5380" width="16.140625" style="164" customWidth="1"/>
    <col min="5381" max="5381" width="11.42578125" style="164" customWidth="1"/>
    <col min="5382" max="5382" width="5" style="164" customWidth="1"/>
    <col min="5383" max="5383" width="14.28515625" style="164" customWidth="1"/>
    <col min="5384" max="5388" width="0" style="164" hidden="1" customWidth="1"/>
    <col min="5389" max="5389" width="14.42578125" style="164" customWidth="1"/>
    <col min="5390" max="5632" width="9.140625" style="164"/>
    <col min="5633" max="5633" width="4.7109375" style="164" customWidth="1"/>
    <col min="5634" max="5634" width="35.42578125" style="164" customWidth="1"/>
    <col min="5635" max="5635" width="8.28515625" style="164" customWidth="1"/>
    <col min="5636" max="5636" width="16.140625" style="164" customWidth="1"/>
    <col min="5637" max="5637" width="11.42578125" style="164" customWidth="1"/>
    <col min="5638" max="5638" width="5" style="164" customWidth="1"/>
    <col min="5639" max="5639" width="14.28515625" style="164" customWidth="1"/>
    <col min="5640" max="5644" width="0" style="164" hidden="1" customWidth="1"/>
    <col min="5645" max="5645" width="14.42578125" style="164" customWidth="1"/>
    <col min="5646" max="5888" width="9.140625" style="164"/>
    <col min="5889" max="5889" width="4.7109375" style="164" customWidth="1"/>
    <col min="5890" max="5890" width="35.42578125" style="164" customWidth="1"/>
    <col min="5891" max="5891" width="8.28515625" style="164" customWidth="1"/>
    <col min="5892" max="5892" width="16.140625" style="164" customWidth="1"/>
    <col min="5893" max="5893" width="11.42578125" style="164" customWidth="1"/>
    <col min="5894" max="5894" width="5" style="164" customWidth="1"/>
    <col min="5895" max="5895" width="14.28515625" style="164" customWidth="1"/>
    <col min="5896" max="5900" width="0" style="164" hidden="1" customWidth="1"/>
    <col min="5901" max="5901" width="14.42578125" style="164" customWidth="1"/>
    <col min="5902" max="6144" width="9.140625" style="164"/>
    <col min="6145" max="6145" width="4.7109375" style="164" customWidth="1"/>
    <col min="6146" max="6146" width="35.42578125" style="164" customWidth="1"/>
    <col min="6147" max="6147" width="8.28515625" style="164" customWidth="1"/>
    <col min="6148" max="6148" width="16.140625" style="164" customWidth="1"/>
    <col min="6149" max="6149" width="11.42578125" style="164" customWidth="1"/>
    <col min="6150" max="6150" width="5" style="164" customWidth="1"/>
    <col min="6151" max="6151" width="14.28515625" style="164" customWidth="1"/>
    <col min="6152" max="6156" width="0" style="164" hidden="1" customWidth="1"/>
    <col min="6157" max="6157" width="14.42578125" style="164" customWidth="1"/>
    <col min="6158" max="6400" width="9.140625" style="164"/>
    <col min="6401" max="6401" width="4.7109375" style="164" customWidth="1"/>
    <col min="6402" max="6402" width="35.42578125" style="164" customWidth="1"/>
    <col min="6403" max="6403" width="8.28515625" style="164" customWidth="1"/>
    <col min="6404" max="6404" width="16.140625" style="164" customWidth="1"/>
    <col min="6405" max="6405" width="11.42578125" style="164" customWidth="1"/>
    <col min="6406" max="6406" width="5" style="164" customWidth="1"/>
    <col min="6407" max="6407" width="14.28515625" style="164" customWidth="1"/>
    <col min="6408" max="6412" width="0" style="164" hidden="1" customWidth="1"/>
    <col min="6413" max="6413" width="14.42578125" style="164" customWidth="1"/>
    <col min="6414" max="6656" width="9.140625" style="164"/>
    <col min="6657" max="6657" width="4.7109375" style="164" customWidth="1"/>
    <col min="6658" max="6658" width="35.42578125" style="164" customWidth="1"/>
    <col min="6659" max="6659" width="8.28515625" style="164" customWidth="1"/>
    <col min="6660" max="6660" width="16.140625" style="164" customWidth="1"/>
    <col min="6661" max="6661" width="11.42578125" style="164" customWidth="1"/>
    <col min="6662" max="6662" width="5" style="164" customWidth="1"/>
    <col min="6663" max="6663" width="14.28515625" style="164" customWidth="1"/>
    <col min="6664" max="6668" width="0" style="164" hidden="1" customWidth="1"/>
    <col min="6669" max="6669" width="14.42578125" style="164" customWidth="1"/>
    <col min="6670" max="6912" width="9.140625" style="164"/>
    <col min="6913" max="6913" width="4.7109375" style="164" customWidth="1"/>
    <col min="6914" max="6914" width="35.42578125" style="164" customWidth="1"/>
    <col min="6915" max="6915" width="8.28515625" style="164" customWidth="1"/>
    <col min="6916" max="6916" width="16.140625" style="164" customWidth="1"/>
    <col min="6917" max="6917" width="11.42578125" style="164" customWidth="1"/>
    <col min="6918" max="6918" width="5" style="164" customWidth="1"/>
    <col min="6919" max="6919" width="14.28515625" style="164" customWidth="1"/>
    <col min="6920" max="6924" width="0" style="164" hidden="1" customWidth="1"/>
    <col min="6925" max="6925" width="14.42578125" style="164" customWidth="1"/>
    <col min="6926" max="7168" width="9.140625" style="164"/>
    <col min="7169" max="7169" width="4.7109375" style="164" customWidth="1"/>
    <col min="7170" max="7170" width="35.42578125" style="164" customWidth="1"/>
    <col min="7171" max="7171" width="8.28515625" style="164" customWidth="1"/>
    <col min="7172" max="7172" width="16.140625" style="164" customWidth="1"/>
    <col min="7173" max="7173" width="11.42578125" style="164" customWidth="1"/>
    <col min="7174" max="7174" width="5" style="164" customWidth="1"/>
    <col min="7175" max="7175" width="14.28515625" style="164" customWidth="1"/>
    <col min="7176" max="7180" width="0" style="164" hidden="1" customWidth="1"/>
    <col min="7181" max="7181" width="14.42578125" style="164" customWidth="1"/>
    <col min="7182" max="7424" width="9.140625" style="164"/>
    <col min="7425" max="7425" width="4.7109375" style="164" customWidth="1"/>
    <col min="7426" max="7426" width="35.42578125" style="164" customWidth="1"/>
    <col min="7427" max="7427" width="8.28515625" style="164" customWidth="1"/>
    <col min="7428" max="7428" width="16.140625" style="164" customWidth="1"/>
    <col min="7429" max="7429" width="11.42578125" style="164" customWidth="1"/>
    <col min="7430" max="7430" width="5" style="164" customWidth="1"/>
    <col min="7431" max="7431" width="14.28515625" style="164" customWidth="1"/>
    <col min="7432" max="7436" width="0" style="164" hidden="1" customWidth="1"/>
    <col min="7437" max="7437" width="14.42578125" style="164" customWidth="1"/>
    <col min="7438" max="7680" width="9.140625" style="164"/>
    <col min="7681" max="7681" width="4.7109375" style="164" customWidth="1"/>
    <col min="7682" max="7682" width="35.42578125" style="164" customWidth="1"/>
    <col min="7683" max="7683" width="8.28515625" style="164" customWidth="1"/>
    <col min="7684" max="7684" width="16.140625" style="164" customWidth="1"/>
    <col min="7685" max="7685" width="11.42578125" style="164" customWidth="1"/>
    <col min="7686" max="7686" width="5" style="164" customWidth="1"/>
    <col min="7687" max="7687" width="14.28515625" style="164" customWidth="1"/>
    <col min="7688" max="7692" width="0" style="164" hidden="1" customWidth="1"/>
    <col min="7693" max="7693" width="14.42578125" style="164" customWidth="1"/>
    <col min="7694" max="7936" width="9.140625" style="164"/>
    <col min="7937" max="7937" width="4.7109375" style="164" customWidth="1"/>
    <col min="7938" max="7938" width="35.42578125" style="164" customWidth="1"/>
    <col min="7939" max="7939" width="8.28515625" style="164" customWidth="1"/>
    <col min="7940" max="7940" width="16.140625" style="164" customWidth="1"/>
    <col min="7941" max="7941" width="11.42578125" style="164" customWidth="1"/>
    <col min="7942" max="7942" width="5" style="164" customWidth="1"/>
    <col min="7943" max="7943" width="14.28515625" style="164" customWidth="1"/>
    <col min="7944" max="7948" width="0" style="164" hidden="1" customWidth="1"/>
    <col min="7949" max="7949" width="14.42578125" style="164" customWidth="1"/>
    <col min="7950" max="8192" width="9.140625" style="164"/>
    <col min="8193" max="8193" width="4.7109375" style="164" customWidth="1"/>
    <col min="8194" max="8194" width="35.42578125" style="164" customWidth="1"/>
    <col min="8195" max="8195" width="8.28515625" style="164" customWidth="1"/>
    <col min="8196" max="8196" width="16.140625" style="164" customWidth="1"/>
    <col min="8197" max="8197" width="11.42578125" style="164" customWidth="1"/>
    <col min="8198" max="8198" width="5" style="164" customWidth="1"/>
    <col min="8199" max="8199" width="14.28515625" style="164" customWidth="1"/>
    <col min="8200" max="8204" width="0" style="164" hidden="1" customWidth="1"/>
    <col min="8205" max="8205" width="14.42578125" style="164" customWidth="1"/>
    <col min="8206" max="8448" width="9.140625" style="164"/>
    <col min="8449" max="8449" width="4.7109375" style="164" customWidth="1"/>
    <col min="8450" max="8450" width="35.42578125" style="164" customWidth="1"/>
    <col min="8451" max="8451" width="8.28515625" style="164" customWidth="1"/>
    <col min="8452" max="8452" width="16.140625" style="164" customWidth="1"/>
    <col min="8453" max="8453" width="11.42578125" style="164" customWidth="1"/>
    <col min="8454" max="8454" width="5" style="164" customWidth="1"/>
    <col min="8455" max="8455" width="14.28515625" style="164" customWidth="1"/>
    <col min="8456" max="8460" width="0" style="164" hidden="1" customWidth="1"/>
    <col min="8461" max="8461" width="14.42578125" style="164" customWidth="1"/>
    <col min="8462" max="8704" width="9.140625" style="164"/>
    <col min="8705" max="8705" width="4.7109375" style="164" customWidth="1"/>
    <col min="8706" max="8706" width="35.42578125" style="164" customWidth="1"/>
    <col min="8707" max="8707" width="8.28515625" style="164" customWidth="1"/>
    <col min="8708" max="8708" width="16.140625" style="164" customWidth="1"/>
    <col min="8709" max="8709" width="11.42578125" style="164" customWidth="1"/>
    <col min="8710" max="8710" width="5" style="164" customWidth="1"/>
    <col min="8711" max="8711" width="14.28515625" style="164" customWidth="1"/>
    <col min="8712" max="8716" width="0" style="164" hidden="1" customWidth="1"/>
    <col min="8717" max="8717" width="14.42578125" style="164" customWidth="1"/>
    <col min="8718" max="8960" width="9.140625" style="164"/>
    <col min="8961" max="8961" width="4.7109375" style="164" customWidth="1"/>
    <col min="8962" max="8962" width="35.42578125" style="164" customWidth="1"/>
    <col min="8963" max="8963" width="8.28515625" style="164" customWidth="1"/>
    <col min="8964" max="8964" width="16.140625" style="164" customWidth="1"/>
    <col min="8965" max="8965" width="11.42578125" style="164" customWidth="1"/>
    <col min="8966" max="8966" width="5" style="164" customWidth="1"/>
    <col min="8967" max="8967" width="14.28515625" style="164" customWidth="1"/>
    <col min="8968" max="8972" width="0" style="164" hidden="1" customWidth="1"/>
    <col min="8973" max="8973" width="14.42578125" style="164" customWidth="1"/>
    <col min="8974" max="9216" width="9.140625" style="164"/>
    <col min="9217" max="9217" width="4.7109375" style="164" customWidth="1"/>
    <col min="9218" max="9218" width="35.42578125" style="164" customWidth="1"/>
    <col min="9219" max="9219" width="8.28515625" style="164" customWidth="1"/>
    <col min="9220" max="9220" width="16.140625" style="164" customWidth="1"/>
    <col min="9221" max="9221" width="11.42578125" style="164" customWidth="1"/>
    <col min="9222" max="9222" width="5" style="164" customWidth="1"/>
    <col min="9223" max="9223" width="14.28515625" style="164" customWidth="1"/>
    <col min="9224" max="9228" width="0" style="164" hidden="1" customWidth="1"/>
    <col min="9229" max="9229" width="14.42578125" style="164" customWidth="1"/>
    <col min="9230" max="9472" width="9.140625" style="164"/>
    <col min="9473" max="9473" width="4.7109375" style="164" customWidth="1"/>
    <col min="9474" max="9474" width="35.42578125" style="164" customWidth="1"/>
    <col min="9475" max="9475" width="8.28515625" style="164" customWidth="1"/>
    <col min="9476" max="9476" width="16.140625" style="164" customWidth="1"/>
    <col min="9477" max="9477" width="11.42578125" style="164" customWidth="1"/>
    <col min="9478" max="9478" width="5" style="164" customWidth="1"/>
    <col min="9479" max="9479" width="14.28515625" style="164" customWidth="1"/>
    <col min="9480" max="9484" width="0" style="164" hidden="1" customWidth="1"/>
    <col min="9485" max="9485" width="14.42578125" style="164" customWidth="1"/>
    <col min="9486" max="9728" width="9.140625" style="164"/>
    <col min="9729" max="9729" width="4.7109375" style="164" customWidth="1"/>
    <col min="9730" max="9730" width="35.42578125" style="164" customWidth="1"/>
    <col min="9731" max="9731" width="8.28515625" style="164" customWidth="1"/>
    <col min="9732" max="9732" width="16.140625" style="164" customWidth="1"/>
    <col min="9733" max="9733" width="11.42578125" style="164" customWidth="1"/>
    <col min="9734" max="9734" width="5" style="164" customWidth="1"/>
    <col min="9735" max="9735" width="14.28515625" style="164" customWidth="1"/>
    <col min="9736" max="9740" width="0" style="164" hidden="1" customWidth="1"/>
    <col min="9741" max="9741" width="14.42578125" style="164" customWidth="1"/>
    <col min="9742" max="9984" width="9.140625" style="164"/>
    <col min="9985" max="9985" width="4.7109375" style="164" customWidth="1"/>
    <col min="9986" max="9986" width="35.42578125" style="164" customWidth="1"/>
    <col min="9987" max="9987" width="8.28515625" style="164" customWidth="1"/>
    <col min="9988" max="9988" width="16.140625" style="164" customWidth="1"/>
    <col min="9989" max="9989" width="11.42578125" style="164" customWidth="1"/>
    <col min="9990" max="9990" width="5" style="164" customWidth="1"/>
    <col min="9991" max="9991" width="14.28515625" style="164" customWidth="1"/>
    <col min="9992" max="9996" width="0" style="164" hidden="1" customWidth="1"/>
    <col min="9997" max="9997" width="14.42578125" style="164" customWidth="1"/>
    <col min="9998" max="10240" width="9.140625" style="164"/>
    <col min="10241" max="10241" width="4.7109375" style="164" customWidth="1"/>
    <col min="10242" max="10242" width="35.42578125" style="164" customWidth="1"/>
    <col min="10243" max="10243" width="8.28515625" style="164" customWidth="1"/>
    <col min="10244" max="10244" width="16.140625" style="164" customWidth="1"/>
    <col min="10245" max="10245" width="11.42578125" style="164" customWidth="1"/>
    <col min="10246" max="10246" width="5" style="164" customWidth="1"/>
    <col min="10247" max="10247" width="14.28515625" style="164" customWidth="1"/>
    <col min="10248" max="10252" width="0" style="164" hidden="1" customWidth="1"/>
    <col min="10253" max="10253" width="14.42578125" style="164" customWidth="1"/>
    <col min="10254" max="10496" width="9.140625" style="164"/>
    <col min="10497" max="10497" width="4.7109375" style="164" customWidth="1"/>
    <col min="10498" max="10498" width="35.42578125" style="164" customWidth="1"/>
    <col min="10499" max="10499" width="8.28515625" style="164" customWidth="1"/>
    <col min="10500" max="10500" width="16.140625" style="164" customWidth="1"/>
    <col min="10501" max="10501" width="11.42578125" style="164" customWidth="1"/>
    <col min="10502" max="10502" width="5" style="164" customWidth="1"/>
    <col min="10503" max="10503" width="14.28515625" style="164" customWidth="1"/>
    <col min="10504" max="10508" width="0" style="164" hidden="1" customWidth="1"/>
    <col min="10509" max="10509" width="14.42578125" style="164" customWidth="1"/>
    <col min="10510" max="10752" width="9.140625" style="164"/>
    <col min="10753" max="10753" width="4.7109375" style="164" customWidth="1"/>
    <col min="10754" max="10754" width="35.42578125" style="164" customWidth="1"/>
    <col min="10755" max="10755" width="8.28515625" style="164" customWidth="1"/>
    <col min="10756" max="10756" width="16.140625" style="164" customWidth="1"/>
    <col min="10757" max="10757" width="11.42578125" style="164" customWidth="1"/>
    <col min="10758" max="10758" width="5" style="164" customWidth="1"/>
    <col min="10759" max="10759" width="14.28515625" style="164" customWidth="1"/>
    <col min="10760" max="10764" width="0" style="164" hidden="1" customWidth="1"/>
    <col min="10765" max="10765" width="14.42578125" style="164" customWidth="1"/>
    <col min="10766" max="11008" width="9.140625" style="164"/>
    <col min="11009" max="11009" width="4.7109375" style="164" customWidth="1"/>
    <col min="11010" max="11010" width="35.42578125" style="164" customWidth="1"/>
    <col min="11011" max="11011" width="8.28515625" style="164" customWidth="1"/>
    <col min="11012" max="11012" width="16.140625" style="164" customWidth="1"/>
    <col min="11013" max="11013" width="11.42578125" style="164" customWidth="1"/>
    <col min="11014" max="11014" width="5" style="164" customWidth="1"/>
    <col min="11015" max="11015" width="14.28515625" style="164" customWidth="1"/>
    <col min="11016" max="11020" width="0" style="164" hidden="1" customWidth="1"/>
    <col min="11021" max="11021" width="14.42578125" style="164" customWidth="1"/>
    <col min="11022" max="11264" width="9.140625" style="164"/>
    <col min="11265" max="11265" width="4.7109375" style="164" customWidth="1"/>
    <col min="11266" max="11266" width="35.42578125" style="164" customWidth="1"/>
    <col min="11267" max="11267" width="8.28515625" style="164" customWidth="1"/>
    <col min="11268" max="11268" width="16.140625" style="164" customWidth="1"/>
    <col min="11269" max="11269" width="11.42578125" style="164" customWidth="1"/>
    <col min="11270" max="11270" width="5" style="164" customWidth="1"/>
    <col min="11271" max="11271" width="14.28515625" style="164" customWidth="1"/>
    <col min="11272" max="11276" width="0" style="164" hidden="1" customWidth="1"/>
    <col min="11277" max="11277" width="14.42578125" style="164" customWidth="1"/>
    <col min="11278" max="11520" width="9.140625" style="164"/>
    <col min="11521" max="11521" width="4.7109375" style="164" customWidth="1"/>
    <col min="11522" max="11522" width="35.42578125" style="164" customWidth="1"/>
    <col min="11523" max="11523" width="8.28515625" style="164" customWidth="1"/>
    <col min="11524" max="11524" width="16.140625" style="164" customWidth="1"/>
    <col min="11525" max="11525" width="11.42578125" style="164" customWidth="1"/>
    <col min="11526" max="11526" width="5" style="164" customWidth="1"/>
    <col min="11527" max="11527" width="14.28515625" style="164" customWidth="1"/>
    <col min="11528" max="11532" width="0" style="164" hidden="1" customWidth="1"/>
    <col min="11533" max="11533" width="14.42578125" style="164" customWidth="1"/>
    <col min="11534" max="11776" width="9.140625" style="164"/>
    <col min="11777" max="11777" width="4.7109375" style="164" customWidth="1"/>
    <col min="11778" max="11778" width="35.42578125" style="164" customWidth="1"/>
    <col min="11779" max="11779" width="8.28515625" style="164" customWidth="1"/>
    <col min="11780" max="11780" width="16.140625" style="164" customWidth="1"/>
    <col min="11781" max="11781" width="11.42578125" style="164" customWidth="1"/>
    <col min="11782" max="11782" width="5" style="164" customWidth="1"/>
    <col min="11783" max="11783" width="14.28515625" style="164" customWidth="1"/>
    <col min="11784" max="11788" width="0" style="164" hidden="1" customWidth="1"/>
    <col min="11789" max="11789" width="14.42578125" style="164" customWidth="1"/>
    <col min="11790" max="12032" width="9.140625" style="164"/>
    <col min="12033" max="12033" width="4.7109375" style="164" customWidth="1"/>
    <col min="12034" max="12034" width="35.42578125" style="164" customWidth="1"/>
    <col min="12035" max="12035" width="8.28515625" style="164" customWidth="1"/>
    <col min="12036" max="12036" width="16.140625" style="164" customWidth="1"/>
    <col min="12037" max="12037" width="11.42578125" style="164" customWidth="1"/>
    <col min="12038" max="12038" width="5" style="164" customWidth="1"/>
    <col min="12039" max="12039" width="14.28515625" style="164" customWidth="1"/>
    <col min="12040" max="12044" width="0" style="164" hidden="1" customWidth="1"/>
    <col min="12045" max="12045" width="14.42578125" style="164" customWidth="1"/>
    <col min="12046" max="12288" width="9.140625" style="164"/>
    <col min="12289" max="12289" width="4.7109375" style="164" customWidth="1"/>
    <col min="12290" max="12290" width="35.42578125" style="164" customWidth="1"/>
    <col min="12291" max="12291" width="8.28515625" style="164" customWidth="1"/>
    <col min="12292" max="12292" width="16.140625" style="164" customWidth="1"/>
    <col min="12293" max="12293" width="11.42578125" style="164" customWidth="1"/>
    <col min="12294" max="12294" width="5" style="164" customWidth="1"/>
    <col min="12295" max="12295" width="14.28515625" style="164" customWidth="1"/>
    <col min="12296" max="12300" width="0" style="164" hidden="1" customWidth="1"/>
    <col min="12301" max="12301" width="14.42578125" style="164" customWidth="1"/>
    <col min="12302" max="12544" width="9.140625" style="164"/>
    <col min="12545" max="12545" width="4.7109375" style="164" customWidth="1"/>
    <col min="12546" max="12546" width="35.42578125" style="164" customWidth="1"/>
    <col min="12547" max="12547" width="8.28515625" style="164" customWidth="1"/>
    <col min="12548" max="12548" width="16.140625" style="164" customWidth="1"/>
    <col min="12549" max="12549" width="11.42578125" style="164" customWidth="1"/>
    <col min="12550" max="12550" width="5" style="164" customWidth="1"/>
    <col min="12551" max="12551" width="14.28515625" style="164" customWidth="1"/>
    <col min="12552" max="12556" width="0" style="164" hidden="1" customWidth="1"/>
    <col min="12557" max="12557" width="14.42578125" style="164" customWidth="1"/>
    <col min="12558" max="12800" width="9.140625" style="164"/>
    <col min="12801" max="12801" width="4.7109375" style="164" customWidth="1"/>
    <col min="12802" max="12802" width="35.42578125" style="164" customWidth="1"/>
    <col min="12803" max="12803" width="8.28515625" style="164" customWidth="1"/>
    <col min="12804" max="12804" width="16.140625" style="164" customWidth="1"/>
    <col min="12805" max="12805" width="11.42578125" style="164" customWidth="1"/>
    <col min="12806" max="12806" width="5" style="164" customWidth="1"/>
    <col min="12807" max="12807" width="14.28515625" style="164" customWidth="1"/>
    <col min="12808" max="12812" width="0" style="164" hidden="1" customWidth="1"/>
    <col min="12813" max="12813" width="14.42578125" style="164" customWidth="1"/>
    <col min="12814" max="13056" width="9.140625" style="164"/>
    <col min="13057" max="13057" width="4.7109375" style="164" customWidth="1"/>
    <col min="13058" max="13058" width="35.42578125" style="164" customWidth="1"/>
    <col min="13059" max="13059" width="8.28515625" style="164" customWidth="1"/>
    <col min="13060" max="13060" width="16.140625" style="164" customWidth="1"/>
    <col min="13061" max="13061" width="11.42578125" style="164" customWidth="1"/>
    <col min="13062" max="13062" width="5" style="164" customWidth="1"/>
    <col min="13063" max="13063" width="14.28515625" style="164" customWidth="1"/>
    <col min="13064" max="13068" width="0" style="164" hidden="1" customWidth="1"/>
    <col min="13069" max="13069" width="14.42578125" style="164" customWidth="1"/>
    <col min="13070" max="13312" width="9.140625" style="164"/>
    <col min="13313" max="13313" width="4.7109375" style="164" customWidth="1"/>
    <col min="13314" max="13314" width="35.42578125" style="164" customWidth="1"/>
    <col min="13315" max="13315" width="8.28515625" style="164" customWidth="1"/>
    <col min="13316" max="13316" width="16.140625" style="164" customWidth="1"/>
    <col min="13317" max="13317" width="11.42578125" style="164" customWidth="1"/>
    <col min="13318" max="13318" width="5" style="164" customWidth="1"/>
    <col min="13319" max="13319" width="14.28515625" style="164" customWidth="1"/>
    <col min="13320" max="13324" width="0" style="164" hidden="1" customWidth="1"/>
    <col min="13325" max="13325" width="14.42578125" style="164" customWidth="1"/>
    <col min="13326" max="13568" width="9.140625" style="164"/>
    <col min="13569" max="13569" width="4.7109375" style="164" customWidth="1"/>
    <col min="13570" max="13570" width="35.42578125" style="164" customWidth="1"/>
    <col min="13571" max="13571" width="8.28515625" style="164" customWidth="1"/>
    <col min="13572" max="13572" width="16.140625" style="164" customWidth="1"/>
    <col min="13573" max="13573" width="11.42578125" style="164" customWidth="1"/>
    <col min="13574" max="13574" width="5" style="164" customWidth="1"/>
    <col min="13575" max="13575" width="14.28515625" style="164" customWidth="1"/>
    <col min="13576" max="13580" width="0" style="164" hidden="1" customWidth="1"/>
    <col min="13581" max="13581" width="14.42578125" style="164" customWidth="1"/>
    <col min="13582" max="13824" width="9.140625" style="164"/>
    <col min="13825" max="13825" width="4.7109375" style="164" customWidth="1"/>
    <col min="13826" max="13826" width="35.42578125" style="164" customWidth="1"/>
    <col min="13827" max="13827" width="8.28515625" style="164" customWidth="1"/>
    <col min="13828" max="13828" width="16.140625" style="164" customWidth="1"/>
    <col min="13829" max="13829" width="11.42578125" style="164" customWidth="1"/>
    <col min="13830" max="13830" width="5" style="164" customWidth="1"/>
    <col min="13831" max="13831" width="14.28515625" style="164" customWidth="1"/>
    <col min="13832" max="13836" width="0" style="164" hidden="1" customWidth="1"/>
    <col min="13837" max="13837" width="14.42578125" style="164" customWidth="1"/>
    <col min="13838" max="14080" width="9.140625" style="164"/>
    <col min="14081" max="14081" width="4.7109375" style="164" customWidth="1"/>
    <col min="14082" max="14082" width="35.42578125" style="164" customWidth="1"/>
    <col min="14083" max="14083" width="8.28515625" style="164" customWidth="1"/>
    <col min="14084" max="14084" width="16.140625" style="164" customWidth="1"/>
    <col min="14085" max="14085" width="11.42578125" style="164" customWidth="1"/>
    <col min="14086" max="14086" width="5" style="164" customWidth="1"/>
    <col min="14087" max="14087" width="14.28515625" style="164" customWidth="1"/>
    <col min="14088" max="14092" width="0" style="164" hidden="1" customWidth="1"/>
    <col min="14093" max="14093" width="14.42578125" style="164" customWidth="1"/>
    <col min="14094" max="14336" width="9.140625" style="164"/>
    <col min="14337" max="14337" width="4.7109375" style="164" customWidth="1"/>
    <col min="14338" max="14338" width="35.42578125" style="164" customWidth="1"/>
    <col min="14339" max="14339" width="8.28515625" style="164" customWidth="1"/>
    <col min="14340" max="14340" width="16.140625" style="164" customWidth="1"/>
    <col min="14341" max="14341" width="11.42578125" style="164" customWidth="1"/>
    <col min="14342" max="14342" width="5" style="164" customWidth="1"/>
    <col min="14343" max="14343" width="14.28515625" style="164" customWidth="1"/>
    <col min="14344" max="14348" width="0" style="164" hidden="1" customWidth="1"/>
    <col min="14349" max="14349" width="14.42578125" style="164" customWidth="1"/>
    <col min="14350" max="14592" width="9.140625" style="164"/>
    <col min="14593" max="14593" width="4.7109375" style="164" customWidth="1"/>
    <col min="14594" max="14594" width="35.42578125" style="164" customWidth="1"/>
    <col min="14595" max="14595" width="8.28515625" style="164" customWidth="1"/>
    <col min="14596" max="14596" width="16.140625" style="164" customWidth="1"/>
    <col min="14597" max="14597" width="11.42578125" style="164" customWidth="1"/>
    <col min="14598" max="14598" width="5" style="164" customWidth="1"/>
    <col min="14599" max="14599" width="14.28515625" style="164" customWidth="1"/>
    <col min="14600" max="14604" width="0" style="164" hidden="1" customWidth="1"/>
    <col min="14605" max="14605" width="14.42578125" style="164" customWidth="1"/>
    <col min="14606" max="14848" width="9.140625" style="164"/>
    <col min="14849" max="14849" width="4.7109375" style="164" customWidth="1"/>
    <col min="14850" max="14850" width="35.42578125" style="164" customWidth="1"/>
    <col min="14851" max="14851" width="8.28515625" style="164" customWidth="1"/>
    <col min="14852" max="14852" width="16.140625" style="164" customWidth="1"/>
    <col min="14853" max="14853" width="11.42578125" style="164" customWidth="1"/>
    <col min="14854" max="14854" width="5" style="164" customWidth="1"/>
    <col min="14855" max="14855" width="14.28515625" style="164" customWidth="1"/>
    <col min="14856" max="14860" width="0" style="164" hidden="1" customWidth="1"/>
    <col min="14861" max="14861" width="14.42578125" style="164" customWidth="1"/>
    <col min="14862" max="15104" width="9.140625" style="164"/>
    <col min="15105" max="15105" width="4.7109375" style="164" customWidth="1"/>
    <col min="15106" max="15106" width="35.42578125" style="164" customWidth="1"/>
    <col min="15107" max="15107" width="8.28515625" style="164" customWidth="1"/>
    <col min="15108" max="15108" width="16.140625" style="164" customWidth="1"/>
    <col min="15109" max="15109" width="11.42578125" style="164" customWidth="1"/>
    <col min="15110" max="15110" width="5" style="164" customWidth="1"/>
    <col min="15111" max="15111" width="14.28515625" style="164" customWidth="1"/>
    <col min="15112" max="15116" width="0" style="164" hidden="1" customWidth="1"/>
    <col min="15117" max="15117" width="14.42578125" style="164" customWidth="1"/>
    <col min="15118" max="15360" width="9.140625" style="164"/>
    <col min="15361" max="15361" width="4.7109375" style="164" customWidth="1"/>
    <col min="15362" max="15362" width="35.42578125" style="164" customWidth="1"/>
    <col min="15363" max="15363" width="8.28515625" style="164" customWidth="1"/>
    <col min="15364" max="15364" width="16.140625" style="164" customWidth="1"/>
    <col min="15365" max="15365" width="11.42578125" style="164" customWidth="1"/>
    <col min="15366" max="15366" width="5" style="164" customWidth="1"/>
    <col min="15367" max="15367" width="14.28515625" style="164" customWidth="1"/>
    <col min="15368" max="15372" width="0" style="164" hidden="1" customWidth="1"/>
    <col min="15373" max="15373" width="14.42578125" style="164" customWidth="1"/>
    <col min="15374" max="15616" width="9.140625" style="164"/>
    <col min="15617" max="15617" width="4.7109375" style="164" customWidth="1"/>
    <col min="15618" max="15618" width="35.42578125" style="164" customWidth="1"/>
    <col min="15619" max="15619" width="8.28515625" style="164" customWidth="1"/>
    <col min="15620" max="15620" width="16.140625" style="164" customWidth="1"/>
    <col min="15621" max="15621" width="11.42578125" style="164" customWidth="1"/>
    <col min="15622" max="15622" width="5" style="164" customWidth="1"/>
    <col min="15623" max="15623" width="14.28515625" style="164" customWidth="1"/>
    <col min="15624" max="15628" width="0" style="164" hidden="1" customWidth="1"/>
    <col min="15629" max="15629" width="14.42578125" style="164" customWidth="1"/>
    <col min="15630" max="15872" width="9.140625" style="164"/>
    <col min="15873" max="15873" width="4.7109375" style="164" customWidth="1"/>
    <col min="15874" max="15874" width="35.42578125" style="164" customWidth="1"/>
    <col min="15875" max="15875" width="8.28515625" style="164" customWidth="1"/>
    <col min="15876" max="15876" width="16.140625" style="164" customWidth="1"/>
    <col min="15877" max="15877" width="11.42578125" style="164" customWidth="1"/>
    <col min="15878" max="15878" width="5" style="164" customWidth="1"/>
    <col min="15879" max="15879" width="14.28515625" style="164" customWidth="1"/>
    <col min="15880" max="15884" width="0" style="164" hidden="1" customWidth="1"/>
    <col min="15885" max="15885" width="14.42578125" style="164" customWidth="1"/>
    <col min="15886" max="16128" width="9.140625" style="164"/>
    <col min="16129" max="16129" width="4.7109375" style="164" customWidth="1"/>
    <col min="16130" max="16130" width="35.42578125" style="164" customWidth="1"/>
    <col min="16131" max="16131" width="8.28515625" style="164" customWidth="1"/>
    <col min="16132" max="16132" width="16.140625" style="164" customWidth="1"/>
    <col min="16133" max="16133" width="11.42578125" style="164" customWidth="1"/>
    <col min="16134" max="16134" width="5" style="164" customWidth="1"/>
    <col min="16135" max="16135" width="14.28515625" style="164" customWidth="1"/>
    <col min="16136" max="16140" width="0" style="164" hidden="1" customWidth="1"/>
    <col min="16141" max="16141" width="14.42578125" style="164" customWidth="1"/>
    <col min="16142" max="16384" width="9.140625" style="164"/>
  </cols>
  <sheetData>
    <row r="1" spans="1:14" s="17" customFormat="1" ht="18.75" x14ac:dyDescent="0.3">
      <c r="A1" s="479" t="s">
        <v>369</v>
      </c>
      <c r="B1" s="479"/>
      <c r="C1" s="479"/>
      <c r="D1" s="479"/>
      <c r="E1" s="479"/>
      <c r="F1" s="479"/>
      <c r="G1" s="479"/>
      <c r="H1" s="215"/>
      <c r="I1" s="215"/>
      <c r="J1" s="215"/>
      <c r="K1" s="215"/>
      <c r="L1" s="215"/>
      <c r="M1" s="215"/>
      <c r="N1" s="146"/>
    </row>
    <row r="2" spans="1:14" s="17" customFormat="1" x14ac:dyDescent="0.25">
      <c r="A2" s="585" t="s">
        <v>63</v>
      </c>
      <c r="B2" s="585"/>
      <c r="C2" s="585"/>
      <c r="D2" s="585"/>
      <c r="E2" s="585"/>
      <c r="F2" s="585"/>
      <c r="G2" s="585"/>
      <c r="H2" s="216"/>
      <c r="I2" s="216"/>
      <c r="J2" s="216"/>
      <c r="K2" s="216"/>
      <c r="L2" s="216"/>
      <c r="M2" s="216"/>
      <c r="N2" s="146"/>
    </row>
    <row r="3" spans="1:14" s="17" customFormat="1" x14ac:dyDescent="0.25">
      <c r="A3" s="585" t="s">
        <v>370</v>
      </c>
      <c r="B3" s="585"/>
      <c r="C3" s="585"/>
      <c r="D3" s="585"/>
      <c r="E3" s="585"/>
      <c r="F3" s="585"/>
      <c r="G3" s="585"/>
      <c r="H3" s="216"/>
      <c r="I3" s="216"/>
      <c r="J3" s="216"/>
      <c r="K3" s="216"/>
      <c r="L3" s="216"/>
      <c r="M3" s="216"/>
      <c r="N3" s="146"/>
    </row>
    <row r="4" spans="1:14" s="17" customFormat="1" ht="9.75" customHeight="1" x14ac:dyDescent="0.25">
      <c r="A4" s="147"/>
      <c r="B4" s="147"/>
      <c r="C4" s="147"/>
      <c r="D4" s="147"/>
      <c r="E4" s="147"/>
      <c r="F4" s="147"/>
      <c r="G4" s="147"/>
    </row>
    <row r="5" spans="1:14" s="17" customFormat="1" ht="14.45" customHeight="1" x14ac:dyDescent="0.25">
      <c r="A5" s="458" t="s">
        <v>65</v>
      </c>
      <c r="B5" s="458"/>
      <c r="C5" s="480" t="s">
        <v>66</v>
      </c>
      <c r="D5" s="480"/>
      <c r="E5" s="480"/>
      <c r="F5" s="480"/>
      <c r="G5" s="480"/>
      <c r="H5" s="217"/>
      <c r="I5" s="217"/>
      <c r="J5" s="217"/>
      <c r="K5" s="217"/>
      <c r="L5" s="217"/>
      <c r="M5" s="217"/>
    </row>
    <row r="6" spans="1:14" s="17" customFormat="1" ht="14.45" customHeight="1" x14ac:dyDescent="0.25">
      <c r="A6" s="458"/>
      <c r="B6" s="458"/>
      <c r="C6" s="480"/>
      <c r="D6" s="480"/>
      <c r="E6" s="480"/>
      <c r="F6" s="480"/>
      <c r="G6" s="480"/>
      <c r="H6" s="217"/>
      <c r="I6" s="217"/>
      <c r="J6" s="217"/>
      <c r="K6" s="217"/>
      <c r="L6" s="217"/>
      <c r="M6" s="217"/>
    </row>
    <row r="7" spans="1:14" s="17" customFormat="1" ht="14.45" customHeight="1" x14ac:dyDescent="0.25">
      <c r="A7" s="458"/>
      <c r="B7" s="458"/>
      <c r="C7" s="480"/>
      <c r="D7" s="480"/>
      <c r="E7" s="480"/>
      <c r="F7" s="480"/>
      <c r="G7" s="480"/>
      <c r="H7" s="217"/>
      <c r="I7" s="217"/>
      <c r="J7" s="217"/>
      <c r="K7" s="217"/>
      <c r="L7" s="217"/>
      <c r="M7" s="217"/>
    </row>
    <row r="8" spans="1:14" s="17" customFormat="1" ht="96.75" customHeight="1" x14ac:dyDescent="0.25">
      <c r="A8" s="458"/>
      <c r="B8" s="458"/>
      <c r="C8" s="480"/>
      <c r="D8" s="480"/>
      <c r="E8" s="480"/>
      <c r="F8" s="480"/>
      <c r="G8" s="480"/>
      <c r="H8" s="217"/>
      <c r="I8" s="217"/>
      <c r="J8" s="217"/>
      <c r="K8" s="217"/>
      <c r="L8" s="217"/>
      <c r="M8" s="217"/>
    </row>
    <row r="9" spans="1:14" s="17" customFormat="1" ht="20.25" customHeight="1" x14ac:dyDescent="0.25">
      <c r="A9" s="218"/>
      <c r="B9" s="218"/>
      <c r="C9" s="459" t="s">
        <v>371</v>
      </c>
      <c r="D9" s="459"/>
      <c r="E9" s="459"/>
      <c r="F9" s="459"/>
      <c r="G9" s="459"/>
      <c r="H9" s="219"/>
      <c r="I9" s="219"/>
      <c r="J9" s="219"/>
      <c r="K9" s="219"/>
      <c r="L9" s="219"/>
      <c r="M9" s="219"/>
    </row>
    <row r="10" spans="1:14" s="17" customFormat="1" ht="14.45" customHeight="1" x14ac:dyDescent="0.25">
      <c r="A10" s="458" t="s">
        <v>67</v>
      </c>
      <c r="B10" s="458"/>
      <c r="C10" s="481" t="s">
        <v>68</v>
      </c>
      <c r="D10" s="481"/>
      <c r="E10" s="481"/>
      <c r="F10" s="481"/>
      <c r="G10" s="481"/>
      <c r="H10" s="220"/>
      <c r="I10" s="220"/>
      <c r="J10" s="220"/>
      <c r="K10" s="220"/>
      <c r="L10" s="220"/>
      <c r="M10" s="220"/>
    </row>
    <row r="11" spans="1:14" s="17" customFormat="1" ht="14.45" customHeight="1" x14ac:dyDescent="0.25">
      <c r="A11" s="458"/>
      <c r="B11" s="458"/>
      <c r="C11" s="481"/>
      <c r="D11" s="481"/>
      <c r="E11" s="481"/>
      <c r="F11" s="481"/>
      <c r="G11" s="481"/>
      <c r="H11" s="220"/>
      <c r="I11" s="220"/>
      <c r="J11" s="220"/>
      <c r="K11" s="220"/>
      <c r="L11" s="220"/>
      <c r="M11" s="220"/>
    </row>
    <row r="12" spans="1:14" s="17" customFormat="1" ht="14.45" customHeight="1" x14ac:dyDescent="0.25">
      <c r="A12" s="458" t="s">
        <v>69</v>
      </c>
      <c r="B12" s="458"/>
      <c r="C12" s="459" t="s">
        <v>70</v>
      </c>
      <c r="D12" s="459"/>
      <c r="E12" s="459"/>
      <c r="F12" s="459"/>
      <c r="G12" s="459"/>
      <c r="H12" s="217"/>
      <c r="I12" s="217"/>
      <c r="J12" s="217"/>
      <c r="K12" s="217"/>
      <c r="L12" s="217"/>
      <c r="M12" s="217"/>
    </row>
    <row r="13" spans="1:14" s="17" customFormat="1" ht="16.5" customHeight="1" thickBot="1" x14ac:dyDescent="0.3">
      <c r="A13" s="559"/>
      <c r="B13" s="559"/>
      <c r="C13" s="460"/>
      <c r="D13" s="460"/>
      <c r="E13" s="460"/>
      <c r="F13" s="460"/>
      <c r="G13" s="460"/>
      <c r="H13" s="221"/>
      <c r="I13" s="221"/>
      <c r="J13" s="221"/>
      <c r="K13" s="221"/>
      <c r="L13" s="221"/>
    </row>
    <row r="14" spans="1:14" s="228" customFormat="1" ht="93.6" customHeight="1" x14ac:dyDescent="0.2">
      <c r="A14" s="222" t="s">
        <v>372</v>
      </c>
      <c r="B14" s="223" t="s">
        <v>28</v>
      </c>
      <c r="C14" s="222" t="s">
        <v>29</v>
      </c>
      <c r="D14" s="222" t="s">
        <v>30</v>
      </c>
      <c r="E14" s="224" t="s">
        <v>227</v>
      </c>
      <c r="F14" s="225" t="s">
        <v>31</v>
      </c>
      <c r="G14" s="226" t="s">
        <v>32</v>
      </c>
      <c r="H14" s="227"/>
    </row>
    <row r="15" spans="1:14" s="228" customFormat="1" x14ac:dyDescent="0.2">
      <c r="A15" s="229">
        <v>1</v>
      </c>
      <c r="B15" s="230">
        <v>2</v>
      </c>
      <c r="C15" s="229">
        <v>3</v>
      </c>
      <c r="D15" s="229">
        <v>4</v>
      </c>
      <c r="E15" s="231">
        <v>5</v>
      </c>
      <c r="F15" s="231">
        <v>6</v>
      </c>
      <c r="G15" s="232">
        <v>7</v>
      </c>
      <c r="H15" s="227"/>
    </row>
    <row r="16" spans="1:14" s="228" customFormat="1" ht="29.45" customHeight="1" x14ac:dyDescent="0.2">
      <c r="A16" s="571" t="s">
        <v>461</v>
      </c>
      <c r="B16" s="572"/>
      <c r="C16" s="572"/>
      <c r="D16" s="572"/>
      <c r="E16" s="572"/>
      <c r="F16" s="572"/>
      <c r="G16" s="573"/>
      <c r="H16" s="233"/>
      <c r="I16" s="234">
        <f>(1239.1+125.95*(0.4*10+0.6*5)*0.8)*1000*4.21</f>
        <v>8186008.2000000002</v>
      </c>
    </row>
    <row r="17" spans="1:12" s="241" customFormat="1" ht="15.6" customHeight="1" x14ac:dyDescent="0.2">
      <c r="A17" s="574"/>
      <c r="B17" s="575"/>
      <c r="C17" s="576"/>
      <c r="D17" s="235" t="s">
        <v>373</v>
      </c>
      <c r="E17" s="236">
        <v>100</v>
      </c>
      <c r="F17" s="237" t="s">
        <v>374</v>
      </c>
      <c r="G17" s="238"/>
      <c r="H17" s="239"/>
      <c r="I17" s="240"/>
    </row>
    <row r="18" spans="1:12" s="228" customFormat="1" ht="20.25" customHeight="1" x14ac:dyDescent="0.2">
      <c r="A18" s="571" t="s">
        <v>375</v>
      </c>
      <c r="B18" s="572"/>
      <c r="C18" s="572"/>
      <c r="D18" s="572"/>
      <c r="E18" s="572"/>
      <c r="F18" s="572"/>
      <c r="G18" s="573"/>
      <c r="H18" s="242"/>
      <c r="I18" s="234"/>
    </row>
    <row r="19" spans="1:12" s="228" customFormat="1" ht="20.25" customHeight="1" x14ac:dyDescent="0.2">
      <c r="A19" s="577" t="s">
        <v>462</v>
      </c>
      <c r="B19" s="578"/>
      <c r="C19" s="578"/>
      <c r="D19" s="578"/>
      <c r="E19" s="579">
        <f>(530.71+0.158*100)*1000*4.32</f>
        <v>2360923.2000000002</v>
      </c>
      <c r="F19" s="579"/>
      <c r="G19" s="243"/>
      <c r="H19" s="242"/>
      <c r="I19" s="234"/>
      <c r="K19" s="234">
        <f>(452.02+0.15*12000)*1000*4.21*1.15*1.1</f>
        <v>11993470.312999999</v>
      </c>
      <c r="L19" s="234">
        <f>(946.23+0.26*5120)*1000*4.21*1.15*1.1</f>
        <v>12128795.079500005</v>
      </c>
    </row>
    <row r="20" spans="1:12" s="228" customFormat="1" ht="15.6" customHeight="1" x14ac:dyDescent="0.2">
      <c r="A20" s="244"/>
      <c r="B20" s="580" t="s">
        <v>376</v>
      </c>
      <c r="C20" s="578"/>
      <c r="D20" s="578"/>
      <c r="E20" s="578"/>
      <c r="F20" s="578"/>
      <c r="G20" s="581"/>
      <c r="H20" s="242"/>
      <c r="I20" s="234"/>
      <c r="K20" s="234"/>
      <c r="L20" s="234"/>
    </row>
    <row r="21" spans="1:12" s="228" customFormat="1" ht="18" customHeight="1" x14ac:dyDescent="0.25">
      <c r="A21" s="570" t="s">
        <v>377</v>
      </c>
      <c r="B21" s="570"/>
      <c r="C21" s="570"/>
      <c r="D21" s="570"/>
      <c r="E21" s="570"/>
      <c r="F21" s="570"/>
      <c r="G21" s="570"/>
      <c r="H21" s="242"/>
      <c r="I21" s="234"/>
      <c r="K21" s="234"/>
      <c r="L21" s="234"/>
    </row>
    <row r="22" spans="1:12" s="228" customFormat="1" ht="19.149999999999999" customHeight="1" x14ac:dyDescent="0.2">
      <c r="A22" s="571" t="s">
        <v>378</v>
      </c>
      <c r="B22" s="572"/>
      <c r="C22" s="572"/>
      <c r="D22" s="572"/>
      <c r="E22" s="572"/>
      <c r="F22" s="572"/>
      <c r="G22" s="573"/>
      <c r="H22" s="245"/>
    </row>
    <row r="23" spans="1:12" s="228" customFormat="1" ht="33" customHeight="1" x14ac:dyDescent="0.2">
      <c r="A23" s="230">
        <v>1</v>
      </c>
      <c r="B23" s="246" t="s">
        <v>463</v>
      </c>
      <c r="C23" s="230" t="s">
        <v>379</v>
      </c>
      <c r="D23" s="246" t="s">
        <v>380</v>
      </c>
      <c r="E23" s="247">
        <f>$E$19*0.4*0.02</f>
        <v>18887.385600000005</v>
      </c>
      <c r="F23" s="248">
        <v>1</v>
      </c>
      <c r="G23" s="226">
        <f t="shared" ref="G23:G34" si="0">E23*F23</f>
        <v>18887.385600000005</v>
      </c>
      <c r="H23" s="242"/>
      <c r="I23" s="234"/>
      <c r="K23" s="234"/>
      <c r="L23" s="234"/>
    </row>
    <row r="24" spans="1:12" s="228" customFormat="1" ht="34.5" customHeight="1" x14ac:dyDescent="0.2">
      <c r="A24" s="230">
        <f>MAX(A$11:A23)+1</f>
        <v>2</v>
      </c>
      <c r="B24" s="246" t="s">
        <v>464</v>
      </c>
      <c r="C24" s="230" t="s">
        <v>381</v>
      </c>
      <c r="D24" s="246" t="s">
        <v>382</v>
      </c>
      <c r="E24" s="247">
        <f>$E$19*0.4*0.14*0.5</f>
        <v>66105.849600000016</v>
      </c>
      <c r="F24" s="248">
        <v>1</v>
      </c>
      <c r="G24" s="226">
        <f t="shared" si="0"/>
        <v>66105.849600000016</v>
      </c>
      <c r="H24" s="242"/>
      <c r="I24" s="234"/>
      <c r="K24" s="234"/>
      <c r="L24" s="234"/>
    </row>
    <row r="25" spans="1:12" s="228" customFormat="1" ht="43.9" customHeight="1" x14ac:dyDescent="0.2">
      <c r="A25" s="230">
        <f>MAX(A$11:A24)+1</f>
        <v>3</v>
      </c>
      <c r="B25" s="246" t="s">
        <v>465</v>
      </c>
      <c r="C25" s="230" t="s">
        <v>381</v>
      </c>
      <c r="D25" s="246" t="s">
        <v>383</v>
      </c>
      <c r="E25" s="249">
        <f>$E$19*0.4*0.15*0.5</f>
        <v>70827.696000000011</v>
      </c>
      <c r="F25" s="248">
        <v>1</v>
      </c>
      <c r="G25" s="226">
        <f t="shared" si="0"/>
        <v>70827.696000000011</v>
      </c>
      <c r="H25" s="242"/>
      <c r="I25" s="234"/>
      <c r="K25" s="234"/>
      <c r="L25" s="234"/>
    </row>
    <row r="26" spans="1:12" s="228" customFormat="1" ht="30" customHeight="1" x14ac:dyDescent="0.2">
      <c r="A26" s="230">
        <f>MAX(A$11:A25)+1</f>
        <v>4</v>
      </c>
      <c r="B26" s="246" t="s">
        <v>466</v>
      </c>
      <c r="C26" s="230" t="s">
        <v>381</v>
      </c>
      <c r="D26" s="246" t="s">
        <v>384</v>
      </c>
      <c r="E26" s="247">
        <f>$E$19*0.4 *0.07</f>
        <v>66105.849600000016</v>
      </c>
      <c r="F26" s="248">
        <v>1</v>
      </c>
      <c r="G26" s="226">
        <f t="shared" si="0"/>
        <v>66105.849600000016</v>
      </c>
      <c r="H26" s="242"/>
      <c r="I26" s="234"/>
      <c r="K26" s="234"/>
      <c r="L26" s="234"/>
    </row>
    <row r="27" spans="1:12" s="228" customFormat="1" ht="30" customHeight="1" x14ac:dyDescent="0.2">
      <c r="A27" s="230">
        <f>MAX(A$11:A26)+1</f>
        <v>5</v>
      </c>
      <c r="B27" s="246" t="s">
        <v>467</v>
      </c>
      <c r="C27" s="230" t="s">
        <v>381</v>
      </c>
      <c r="D27" s="246" t="s">
        <v>385</v>
      </c>
      <c r="E27" s="247">
        <f>$E$19*0.4*0.04</f>
        <v>37774.77120000001</v>
      </c>
      <c r="F27" s="248">
        <v>1</v>
      </c>
      <c r="G27" s="226">
        <f t="shared" si="0"/>
        <v>37774.77120000001</v>
      </c>
      <c r="H27" s="242"/>
      <c r="I27" s="234"/>
      <c r="K27" s="234"/>
      <c r="L27" s="234"/>
    </row>
    <row r="28" spans="1:12" s="228" customFormat="1" ht="30" customHeight="1" x14ac:dyDescent="0.2">
      <c r="A28" s="230">
        <f>MAX(A$11:A27)+1</f>
        <v>6</v>
      </c>
      <c r="B28" s="246" t="s">
        <v>468</v>
      </c>
      <c r="C28" s="230" t="s">
        <v>381</v>
      </c>
      <c r="D28" s="246" t="s">
        <v>386</v>
      </c>
      <c r="E28" s="247">
        <f>$E$19*0.4 *0.04</f>
        <v>37774.77120000001</v>
      </c>
      <c r="F28" s="248">
        <v>1</v>
      </c>
      <c r="G28" s="226">
        <f t="shared" si="0"/>
        <v>37774.77120000001</v>
      </c>
      <c r="H28" s="242"/>
      <c r="I28" s="234"/>
      <c r="K28" s="234"/>
      <c r="L28" s="234"/>
    </row>
    <row r="29" spans="1:12" s="228" customFormat="1" ht="60" customHeight="1" x14ac:dyDescent="0.2">
      <c r="A29" s="230">
        <f>MAX(A$11:A28)+1</f>
        <v>7</v>
      </c>
      <c r="B29" s="246" t="s">
        <v>469</v>
      </c>
      <c r="C29" s="230" t="s">
        <v>381</v>
      </c>
      <c r="D29" s="246" t="s">
        <v>387</v>
      </c>
      <c r="E29" s="249">
        <f>$E$19*0.4 *0.12*0.5</f>
        <v>56662.156800000004</v>
      </c>
      <c r="F29" s="250">
        <v>1</v>
      </c>
      <c r="G29" s="226">
        <f t="shared" si="0"/>
        <v>56662.156800000004</v>
      </c>
      <c r="H29" s="242"/>
      <c r="I29" s="234"/>
      <c r="K29" s="234"/>
      <c r="L29" s="234"/>
    </row>
    <row r="30" spans="1:12" s="228" customFormat="1" ht="30" customHeight="1" x14ac:dyDescent="0.2">
      <c r="A30" s="230">
        <f>MAX(A$11:A29)+1</f>
        <v>8</v>
      </c>
      <c r="B30" s="246" t="s">
        <v>470</v>
      </c>
      <c r="C30" s="230" t="s">
        <v>381</v>
      </c>
      <c r="D30" s="246" t="s">
        <v>388</v>
      </c>
      <c r="E30" s="247">
        <f>$E$19*0.4*0.05</f>
        <v>47218.464000000007</v>
      </c>
      <c r="F30" s="248">
        <v>1</v>
      </c>
      <c r="G30" s="226">
        <f t="shared" si="0"/>
        <v>47218.464000000007</v>
      </c>
      <c r="H30" s="242"/>
      <c r="I30" s="234"/>
      <c r="K30" s="234"/>
      <c r="L30" s="234"/>
    </row>
    <row r="31" spans="1:12" s="228" customFormat="1" ht="30" customHeight="1" x14ac:dyDescent="0.2">
      <c r="A31" s="230">
        <f>MAX(A$11:A30)+1</f>
        <v>9</v>
      </c>
      <c r="B31" s="246" t="s">
        <v>471</v>
      </c>
      <c r="C31" s="230" t="s">
        <v>381</v>
      </c>
      <c r="D31" s="246" t="s">
        <v>389</v>
      </c>
      <c r="E31" s="247">
        <f>$E$19*0.4 *0.06</f>
        <v>56662.156800000004</v>
      </c>
      <c r="F31" s="248">
        <v>1</v>
      </c>
      <c r="G31" s="226">
        <f t="shared" si="0"/>
        <v>56662.156800000004</v>
      </c>
      <c r="H31" s="242"/>
      <c r="I31" s="234"/>
      <c r="K31" s="234"/>
      <c r="L31" s="234"/>
    </row>
    <row r="32" spans="1:12" s="228" customFormat="1" ht="44.25" customHeight="1" x14ac:dyDescent="0.2">
      <c r="A32" s="230">
        <f>MAX(A$11:A31)+1</f>
        <v>10</v>
      </c>
      <c r="B32" s="246" t="s">
        <v>472</v>
      </c>
      <c r="C32" s="230" t="s">
        <v>381</v>
      </c>
      <c r="D32" s="246" t="s">
        <v>390</v>
      </c>
      <c r="E32" s="247">
        <f>$E$19*0.4 *0.07</f>
        <v>66105.849600000016</v>
      </c>
      <c r="F32" s="248">
        <v>1</v>
      </c>
      <c r="G32" s="226">
        <f t="shared" si="0"/>
        <v>66105.849600000016</v>
      </c>
      <c r="H32" s="233"/>
      <c r="I32" s="234"/>
      <c r="K32" s="234"/>
      <c r="L32" s="234"/>
    </row>
    <row r="33" spans="1:12" s="228" customFormat="1" ht="48" customHeight="1" x14ac:dyDescent="0.2">
      <c r="A33" s="230">
        <f>MAX(A$11:A32)+1</f>
        <v>11</v>
      </c>
      <c r="B33" s="246" t="s">
        <v>473</v>
      </c>
      <c r="C33" s="230" t="s">
        <v>381</v>
      </c>
      <c r="D33" s="246" t="s">
        <v>391</v>
      </c>
      <c r="E33" s="247">
        <f>$E$19*0.4*0.06</f>
        <v>56662.156800000004</v>
      </c>
      <c r="F33" s="248">
        <v>1</v>
      </c>
      <c r="G33" s="226">
        <f t="shared" si="0"/>
        <v>56662.156800000004</v>
      </c>
      <c r="H33" s="233"/>
      <c r="I33" s="234"/>
      <c r="K33" s="234"/>
      <c r="L33" s="234"/>
    </row>
    <row r="34" spans="1:12" s="228" customFormat="1" ht="45.6" customHeight="1" x14ac:dyDescent="0.2">
      <c r="A34" s="230">
        <f>MAX(A$11:A33)+1</f>
        <v>12</v>
      </c>
      <c r="B34" s="246" t="s">
        <v>474</v>
      </c>
      <c r="C34" s="230" t="s">
        <v>381</v>
      </c>
      <c r="D34" s="246" t="s">
        <v>392</v>
      </c>
      <c r="E34" s="247">
        <f>$E$19*0.4*0.02</f>
        <v>18887.385600000005</v>
      </c>
      <c r="F34" s="248">
        <v>1</v>
      </c>
      <c r="G34" s="226">
        <f t="shared" si="0"/>
        <v>18887.385600000005</v>
      </c>
      <c r="H34" s="242"/>
      <c r="I34" s="234"/>
      <c r="K34" s="234"/>
      <c r="L34" s="234"/>
    </row>
    <row r="35" spans="1:12" s="228" customFormat="1" ht="21.75" customHeight="1" x14ac:dyDescent="0.2">
      <c r="A35" s="230">
        <f>MAX(A$11:A34)+1</f>
        <v>13</v>
      </c>
      <c r="B35" s="251" t="s">
        <v>393</v>
      </c>
      <c r="C35" s="230"/>
      <c r="D35" s="251"/>
      <c r="E35" s="247"/>
      <c r="F35" s="248"/>
      <c r="G35" s="252">
        <f>SUM(G23:G34)</f>
        <v>599674.49280000024</v>
      </c>
      <c r="H35" s="242"/>
      <c r="I35" s="234"/>
      <c r="K35" s="234"/>
      <c r="L35" s="234"/>
    </row>
    <row r="36" spans="1:12" ht="20.25" customHeight="1" x14ac:dyDescent="0.2">
      <c r="A36" s="253"/>
      <c r="B36" s="538" t="s">
        <v>394</v>
      </c>
      <c r="C36" s="539"/>
      <c r="D36" s="539"/>
      <c r="E36" s="539"/>
      <c r="F36" s="539"/>
      <c r="G36" s="540"/>
      <c r="H36" s="254"/>
      <c r="I36" s="255"/>
      <c r="K36" s="255"/>
      <c r="L36" s="255"/>
    </row>
    <row r="37" spans="1:12" ht="18" customHeight="1" x14ac:dyDescent="0.2">
      <c r="A37" s="256"/>
      <c r="B37" s="560" t="s">
        <v>395</v>
      </c>
      <c r="C37" s="561"/>
      <c r="D37" s="561"/>
      <c r="E37" s="561"/>
      <c r="F37" s="561"/>
      <c r="G37" s="562"/>
      <c r="H37" s="254"/>
      <c r="I37" s="255"/>
      <c r="K37" s="255"/>
      <c r="L37" s="255"/>
    </row>
    <row r="38" spans="1:12" ht="58.9" customHeight="1" x14ac:dyDescent="0.2">
      <c r="A38" s="257">
        <f>MAX(A$21:A37)+1</f>
        <v>14</v>
      </c>
      <c r="B38" s="258" t="s">
        <v>475</v>
      </c>
      <c r="C38" s="257" t="s">
        <v>396</v>
      </c>
      <c r="D38" s="258" t="s">
        <v>397</v>
      </c>
      <c r="E38" s="259">
        <f>(0.6+0.692)*1000*33.24*1.2*1.5*1.3*0.4</f>
        <v>40197.530879999998</v>
      </c>
      <c r="F38" s="260">
        <v>1</v>
      </c>
      <c r="G38" s="261">
        <f>E38*F38</f>
        <v>40197.530879999998</v>
      </c>
      <c r="H38" s="254"/>
      <c r="I38" s="255"/>
      <c r="K38" s="255"/>
      <c r="L38" s="255"/>
    </row>
    <row r="39" spans="1:12" ht="46.5" customHeight="1" x14ac:dyDescent="0.2">
      <c r="A39" s="257">
        <f>MAX(A$21:A38)+1</f>
        <v>15</v>
      </c>
      <c r="B39" s="258" t="s">
        <v>476</v>
      </c>
      <c r="C39" s="257" t="s">
        <v>396</v>
      </c>
      <c r="D39" s="258" t="s">
        <v>398</v>
      </c>
      <c r="E39" s="259">
        <f>(0.48+0.554)*1000*33.24*1.2*1.3*0.4</f>
        <v>21446.979840000004</v>
      </c>
      <c r="F39" s="260">
        <v>1</v>
      </c>
      <c r="G39" s="261">
        <f>E39*F39</f>
        <v>21446.979840000004</v>
      </c>
      <c r="H39" s="254"/>
      <c r="I39" s="255"/>
      <c r="K39" s="255"/>
      <c r="L39" s="255"/>
    </row>
    <row r="40" spans="1:12" ht="59.25" customHeight="1" x14ac:dyDescent="0.2">
      <c r="A40" s="257">
        <f>MAX(A$21:A39)+1</f>
        <v>16</v>
      </c>
      <c r="B40" s="258" t="s">
        <v>477</v>
      </c>
      <c r="C40" s="257" t="s">
        <v>396</v>
      </c>
      <c r="D40" s="258" t="s">
        <v>399</v>
      </c>
      <c r="E40" s="259">
        <f>(0.54)*1000*33.24*1.2*1.1*1.3*0.4</f>
        <v>12320.605440000001</v>
      </c>
      <c r="F40" s="260">
        <v>1</v>
      </c>
      <c r="G40" s="261">
        <f>E40*F40</f>
        <v>12320.605440000001</v>
      </c>
      <c r="H40" s="254"/>
      <c r="I40" s="255"/>
      <c r="K40" s="255"/>
      <c r="L40" s="255"/>
    </row>
    <row r="41" spans="1:12" ht="21.75" customHeight="1" x14ac:dyDescent="0.2">
      <c r="A41" s="257">
        <f>MAX(A$21:A40)+1</f>
        <v>17</v>
      </c>
      <c r="B41" s="262" t="s">
        <v>400</v>
      </c>
      <c r="C41" s="258"/>
      <c r="D41" s="258"/>
      <c r="E41" s="259"/>
      <c r="F41" s="263"/>
      <c r="G41" s="264">
        <f>SUM(G38:G40)</f>
        <v>73965.116160000005</v>
      </c>
      <c r="H41" s="254"/>
      <c r="I41" s="255"/>
      <c r="K41" s="255"/>
      <c r="L41" s="255"/>
    </row>
    <row r="42" spans="1:12" ht="18.600000000000001" customHeight="1" x14ac:dyDescent="0.2">
      <c r="A42" s="256"/>
      <c r="B42" s="563" t="s">
        <v>401</v>
      </c>
      <c r="C42" s="564"/>
      <c r="D42" s="564"/>
      <c r="E42" s="564"/>
      <c r="F42" s="564"/>
      <c r="G42" s="565"/>
      <c r="H42" s="265"/>
      <c r="I42" s="255"/>
      <c r="K42" s="255"/>
      <c r="L42" s="255"/>
    </row>
    <row r="43" spans="1:12" ht="19.149999999999999" customHeight="1" x14ac:dyDescent="0.2">
      <c r="A43" s="266"/>
      <c r="B43" s="560" t="s">
        <v>402</v>
      </c>
      <c r="C43" s="561"/>
      <c r="D43" s="561"/>
      <c r="E43" s="561"/>
      <c r="F43" s="561"/>
      <c r="G43" s="562"/>
      <c r="H43" s="267"/>
    </row>
    <row r="44" spans="1:12" ht="92.25" customHeight="1" x14ac:dyDescent="0.2">
      <c r="A44" s="257">
        <f>MAX(A$21:A43)+1</f>
        <v>18</v>
      </c>
      <c r="B44" s="198" t="s">
        <v>478</v>
      </c>
      <c r="C44" s="257" t="s">
        <v>396</v>
      </c>
      <c r="D44" s="198" t="s">
        <v>403</v>
      </c>
      <c r="E44" s="200">
        <f>(2.4+(2.45+3.68*2)*2)*4.32*1000*0.4</f>
        <v>38050.560000000005</v>
      </c>
      <c r="F44" s="268">
        <v>1</v>
      </c>
      <c r="G44" s="261">
        <f>E44*F44</f>
        <v>38050.560000000005</v>
      </c>
      <c r="H44" s="267"/>
    </row>
    <row r="45" spans="1:12" ht="19.5" customHeight="1" x14ac:dyDescent="0.2">
      <c r="A45" s="257">
        <f>MAX(A$21:A44)+1</f>
        <v>19</v>
      </c>
      <c r="B45" s="196" t="s">
        <v>404</v>
      </c>
      <c r="C45" s="269"/>
      <c r="D45" s="269"/>
      <c r="E45" s="199"/>
      <c r="F45" s="270"/>
      <c r="G45" s="201">
        <f>SUM(G44:G44)</f>
        <v>38050.560000000005</v>
      </c>
      <c r="H45" s="267"/>
    </row>
    <row r="46" spans="1:12" ht="18.600000000000001" customHeight="1" x14ac:dyDescent="0.2">
      <c r="A46" s="256"/>
      <c r="B46" s="563" t="s">
        <v>405</v>
      </c>
      <c r="C46" s="564"/>
      <c r="D46" s="564"/>
      <c r="E46" s="564"/>
      <c r="F46" s="564"/>
      <c r="G46" s="565"/>
      <c r="H46" s="265"/>
      <c r="I46" s="255"/>
      <c r="K46" s="255"/>
      <c r="L46" s="255"/>
    </row>
    <row r="47" spans="1:12" ht="19.149999999999999" customHeight="1" x14ac:dyDescent="0.2">
      <c r="A47" s="266"/>
      <c r="B47" s="560" t="s">
        <v>406</v>
      </c>
      <c r="C47" s="561"/>
      <c r="D47" s="561"/>
      <c r="E47" s="561"/>
      <c r="F47" s="561"/>
      <c r="G47" s="562"/>
      <c r="H47" s="267"/>
    </row>
    <row r="48" spans="1:12" ht="44.25" customHeight="1" x14ac:dyDescent="0.2">
      <c r="A48" s="257">
        <f>MAX(A$21:A47)+1</f>
        <v>20</v>
      </c>
      <c r="B48" s="198" t="s">
        <v>479</v>
      </c>
      <c r="C48" s="257" t="s">
        <v>396</v>
      </c>
      <c r="D48" s="198" t="s">
        <v>407</v>
      </c>
      <c r="E48" s="271">
        <f>85.87*4.32*1000*0.4*0.53</f>
        <v>78643.180800000016</v>
      </c>
      <c r="F48" s="272">
        <v>1</v>
      </c>
      <c r="G48" s="261">
        <f>E48*F48</f>
        <v>78643.180800000016</v>
      </c>
      <c r="H48" s="267"/>
    </row>
    <row r="49" spans="1:13" ht="19.5" customHeight="1" x14ac:dyDescent="0.2">
      <c r="A49" s="257">
        <f>MAX(A$21:A48)+1</f>
        <v>21</v>
      </c>
      <c r="B49" s="196" t="s">
        <v>408</v>
      </c>
      <c r="C49" s="269"/>
      <c r="D49" s="269"/>
      <c r="E49" s="199"/>
      <c r="F49" s="270"/>
      <c r="G49" s="201">
        <f>G48</f>
        <v>78643.180800000016</v>
      </c>
      <c r="H49" s="267"/>
    </row>
    <row r="50" spans="1:13" ht="46.5" customHeight="1" x14ac:dyDescent="0.2">
      <c r="A50" s="257"/>
      <c r="B50" s="538" t="s">
        <v>409</v>
      </c>
      <c r="C50" s="539"/>
      <c r="D50" s="539"/>
      <c r="E50" s="539"/>
      <c r="F50" s="539"/>
      <c r="G50" s="540"/>
    </row>
    <row r="51" spans="1:13" ht="59.45" customHeight="1" x14ac:dyDescent="0.2">
      <c r="A51" s="257">
        <f>MAX(A$22:A50)+1</f>
        <v>22</v>
      </c>
      <c r="B51" s="198" t="s">
        <v>480</v>
      </c>
      <c r="C51" s="269"/>
      <c r="D51" s="198" t="s">
        <v>410</v>
      </c>
      <c r="E51" s="199"/>
      <c r="F51" s="274"/>
      <c r="G51" s="275">
        <f>30500*1.4*4.32</f>
        <v>184464</v>
      </c>
    </row>
    <row r="52" spans="1:13" ht="17.25" customHeight="1" x14ac:dyDescent="0.2">
      <c r="A52" s="257">
        <f>MAX(A$22:A51)+1</f>
        <v>23</v>
      </c>
      <c r="B52" s="196" t="s">
        <v>411</v>
      </c>
      <c r="C52" s="269"/>
      <c r="D52" s="269"/>
      <c r="E52" s="199"/>
      <c r="F52" s="274"/>
      <c r="G52" s="276">
        <f>G51</f>
        <v>184464</v>
      </c>
    </row>
    <row r="53" spans="1:13" ht="21.75" customHeight="1" x14ac:dyDescent="0.2">
      <c r="A53" s="257">
        <f>MAX(A$22:A52)+1</f>
        <v>24</v>
      </c>
      <c r="B53" s="196" t="s">
        <v>412</v>
      </c>
      <c r="C53" s="257"/>
      <c r="D53" s="196"/>
      <c r="E53" s="271"/>
      <c r="F53" s="272"/>
      <c r="G53" s="264">
        <f>G35+G41+G45+G49+G52</f>
        <v>974797.34976000024</v>
      </c>
      <c r="H53" s="277"/>
      <c r="I53" s="193"/>
      <c r="J53" s="186"/>
      <c r="K53" s="186"/>
      <c r="M53" s="191"/>
    </row>
    <row r="54" spans="1:13" s="228" customFormat="1" ht="22.5" customHeight="1" x14ac:dyDescent="0.2">
      <c r="A54" s="278"/>
      <c r="B54" s="582" t="s">
        <v>413</v>
      </c>
      <c r="C54" s="583"/>
      <c r="D54" s="583"/>
      <c r="E54" s="583"/>
      <c r="F54" s="583"/>
      <c r="G54" s="584"/>
      <c r="H54" s="279"/>
      <c r="I54" s="280"/>
      <c r="J54" s="281"/>
      <c r="K54" s="281"/>
    </row>
    <row r="55" spans="1:13" s="228" customFormat="1" ht="15.75" customHeight="1" x14ac:dyDescent="0.25">
      <c r="A55" s="570" t="s">
        <v>414</v>
      </c>
      <c r="B55" s="570"/>
      <c r="C55" s="570"/>
      <c r="D55" s="570"/>
      <c r="E55" s="570"/>
      <c r="F55" s="570"/>
      <c r="G55" s="570"/>
      <c r="H55" s="279"/>
      <c r="I55" s="280"/>
      <c r="J55" s="281"/>
      <c r="K55" s="281"/>
    </row>
    <row r="56" spans="1:13" s="228" customFormat="1" ht="33.75" customHeight="1" x14ac:dyDescent="0.2">
      <c r="A56" s="230">
        <f>MAX(A$10:A55)+1</f>
        <v>25</v>
      </c>
      <c r="B56" s="246" t="s">
        <v>481</v>
      </c>
      <c r="C56" s="230" t="s">
        <v>381</v>
      </c>
      <c r="D56" s="246" t="s">
        <v>415</v>
      </c>
      <c r="E56" s="247">
        <f>2360923.2*0.6*0.22*0.5</f>
        <v>155820.93120000002</v>
      </c>
      <c r="F56" s="248">
        <v>1</v>
      </c>
      <c r="G56" s="226">
        <f t="shared" ref="G56:G63" si="1">E56*F56</f>
        <v>155820.93120000002</v>
      </c>
      <c r="H56" s="279"/>
      <c r="I56" s="280"/>
      <c r="J56" s="281"/>
      <c r="K56" s="281"/>
    </row>
    <row r="57" spans="1:13" s="228" customFormat="1" ht="48" customHeight="1" x14ac:dyDescent="0.2">
      <c r="A57" s="230">
        <f>MAX(A$10:A56)+1</f>
        <v>26</v>
      </c>
      <c r="B57" s="246" t="s">
        <v>482</v>
      </c>
      <c r="C57" s="230" t="s">
        <v>381</v>
      </c>
      <c r="D57" s="246" t="s">
        <v>416</v>
      </c>
      <c r="E57" s="247">
        <f>2360923.2*0.6*0.27*0.5</f>
        <v>191234.77920000005</v>
      </c>
      <c r="F57" s="248">
        <v>1</v>
      </c>
      <c r="G57" s="226">
        <f t="shared" si="1"/>
        <v>191234.77920000005</v>
      </c>
      <c r="H57" s="279"/>
      <c r="I57" s="280"/>
      <c r="J57" s="281"/>
      <c r="K57" s="281"/>
    </row>
    <row r="58" spans="1:13" s="228" customFormat="1" ht="30" customHeight="1" x14ac:dyDescent="0.2">
      <c r="A58" s="230">
        <f>MAX(A$10:A57)+1</f>
        <v>27</v>
      </c>
      <c r="B58" s="246" t="s">
        <v>483</v>
      </c>
      <c r="C58" s="230" t="s">
        <v>381</v>
      </c>
      <c r="D58" s="246" t="s">
        <v>417</v>
      </c>
      <c r="E58" s="247">
        <f>2360923.2*0.6*0.05</f>
        <v>70827.696000000011</v>
      </c>
      <c r="F58" s="248">
        <v>1</v>
      </c>
      <c r="G58" s="226">
        <f t="shared" si="1"/>
        <v>70827.696000000011</v>
      </c>
      <c r="H58" s="279"/>
      <c r="I58" s="280"/>
      <c r="J58" s="281"/>
      <c r="K58" s="281"/>
    </row>
    <row r="59" spans="1:13" s="228" customFormat="1" ht="30" customHeight="1" x14ac:dyDescent="0.2">
      <c r="A59" s="230">
        <f>MAX(A$10:A58)+1</f>
        <v>28</v>
      </c>
      <c r="B59" s="246" t="s">
        <v>484</v>
      </c>
      <c r="C59" s="230" t="s">
        <v>381</v>
      </c>
      <c r="D59" s="246" t="s">
        <v>418</v>
      </c>
      <c r="E59" s="247">
        <f>2360923.2*0.6*0.03</f>
        <v>42496.617600000005</v>
      </c>
      <c r="F59" s="248">
        <v>1</v>
      </c>
      <c r="G59" s="226">
        <f t="shared" si="1"/>
        <v>42496.617600000005</v>
      </c>
      <c r="H59" s="279"/>
      <c r="I59" s="280"/>
      <c r="J59" s="281"/>
      <c r="K59" s="281"/>
    </row>
    <row r="60" spans="1:13" s="281" customFormat="1" ht="30" customHeight="1" x14ac:dyDescent="0.2">
      <c r="A60" s="230">
        <f>MAX(A$10:A59)+1</f>
        <v>29</v>
      </c>
      <c r="B60" s="246" t="s">
        <v>485</v>
      </c>
      <c r="C60" s="230" t="s">
        <v>381</v>
      </c>
      <c r="D60" s="246" t="s">
        <v>419</v>
      </c>
      <c r="E60" s="247">
        <f>2360923.2*0.6*0.03</f>
        <v>42496.617600000005</v>
      </c>
      <c r="F60" s="248">
        <v>1</v>
      </c>
      <c r="G60" s="226">
        <f t="shared" si="1"/>
        <v>42496.617600000005</v>
      </c>
      <c r="H60" s="279"/>
      <c r="I60" s="280"/>
    </row>
    <row r="61" spans="1:13" s="228" customFormat="1" ht="62.25" customHeight="1" x14ac:dyDescent="0.2">
      <c r="A61" s="230">
        <f>MAX(A$10:A60)+1</f>
        <v>30</v>
      </c>
      <c r="B61" s="246" t="s">
        <v>486</v>
      </c>
      <c r="C61" s="230" t="s">
        <v>381</v>
      </c>
      <c r="D61" s="246" t="s">
        <v>420</v>
      </c>
      <c r="E61" s="247">
        <f>2360923.2*0.6*0.14*0.5</f>
        <v>99158.774400000024</v>
      </c>
      <c r="F61" s="248">
        <v>1</v>
      </c>
      <c r="G61" s="226">
        <f t="shared" si="1"/>
        <v>99158.774400000024</v>
      </c>
      <c r="H61" s="279"/>
      <c r="I61" s="280"/>
      <c r="J61" s="281"/>
      <c r="K61" s="281"/>
    </row>
    <row r="62" spans="1:13" s="228" customFormat="1" ht="30" customHeight="1" x14ac:dyDescent="0.2">
      <c r="A62" s="230">
        <f>MAX(A$10:A61)+1</f>
        <v>31</v>
      </c>
      <c r="B62" s="246" t="s">
        <v>487</v>
      </c>
      <c r="C62" s="230" t="s">
        <v>381</v>
      </c>
      <c r="D62" s="246" t="s">
        <v>421</v>
      </c>
      <c r="E62" s="247">
        <f>2360923.2*0.6*0.04</f>
        <v>56662.156800000004</v>
      </c>
      <c r="F62" s="248">
        <v>1</v>
      </c>
      <c r="G62" s="226">
        <f t="shared" si="1"/>
        <v>56662.156800000004</v>
      </c>
      <c r="H62" s="279"/>
      <c r="I62" s="280"/>
      <c r="J62" s="281"/>
      <c r="K62" s="281"/>
    </row>
    <row r="63" spans="1:13" s="228" customFormat="1" ht="32.450000000000003" customHeight="1" x14ac:dyDescent="0.2">
      <c r="A63" s="230">
        <f>MAX(A$10:A62)+1</f>
        <v>32</v>
      </c>
      <c r="B63" s="246" t="s">
        <v>488</v>
      </c>
      <c r="C63" s="230" t="s">
        <v>381</v>
      </c>
      <c r="D63" s="246" t="s">
        <v>422</v>
      </c>
      <c r="E63" s="247">
        <f>2360923.2*0.6*0.09</f>
        <v>127489.85280000001</v>
      </c>
      <c r="F63" s="248">
        <v>1</v>
      </c>
      <c r="G63" s="226">
        <f t="shared" si="1"/>
        <v>127489.85280000001</v>
      </c>
      <c r="H63" s="227"/>
    </row>
    <row r="64" spans="1:13" s="228" customFormat="1" ht="21" customHeight="1" x14ac:dyDescent="0.2">
      <c r="A64" s="230">
        <f>MAX(A$10:A63)+1</f>
        <v>33</v>
      </c>
      <c r="B64" s="251" t="s">
        <v>423</v>
      </c>
      <c r="C64" s="230"/>
      <c r="D64" s="251"/>
      <c r="E64" s="247"/>
      <c r="F64" s="248"/>
      <c r="G64" s="252">
        <f>SUM(G56:G63)</f>
        <v>786187.42560000008</v>
      </c>
      <c r="H64" s="227"/>
    </row>
    <row r="65" spans="1:13" ht="19.899999999999999" customHeight="1" x14ac:dyDescent="0.2">
      <c r="A65" s="266"/>
      <c r="B65" s="563" t="s">
        <v>424</v>
      </c>
      <c r="C65" s="564"/>
      <c r="D65" s="564"/>
      <c r="E65" s="564"/>
      <c r="F65" s="564"/>
      <c r="G65" s="565"/>
      <c r="H65" s="282"/>
    </row>
    <row r="66" spans="1:13" ht="18" customHeight="1" x14ac:dyDescent="0.2">
      <c r="A66" s="256"/>
      <c r="B66" s="560" t="s">
        <v>395</v>
      </c>
      <c r="C66" s="561"/>
      <c r="D66" s="561"/>
      <c r="E66" s="561"/>
      <c r="F66" s="561"/>
      <c r="G66" s="562"/>
      <c r="H66" s="254"/>
      <c r="I66" s="255"/>
      <c r="K66" s="255"/>
      <c r="L66" s="255"/>
    </row>
    <row r="67" spans="1:13" ht="58.9" customHeight="1" x14ac:dyDescent="0.2">
      <c r="A67" s="257">
        <f>MAX(A$21:A66)+1</f>
        <v>34</v>
      </c>
      <c r="B67" s="258" t="s">
        <v>489</v>
      </c>
      <c r="C67" s="257" t="s">
        <v>396</v>
      </c>
      <c r="D67" s="258" t="s">
        <v>397</v>
      </c>
      <c r="E67" s="259">
        <f>(0.6+0.692)*1000*33.24*1.2*1.5*1.3*0.6</f>
        <v>60296.296319999987</v>
      </c>
      <c r="F67" s="260">
        <v>1</v>
      </c>
      <c r="G67" s="261">
        <f>E67*F67</f>
        <v>60296.296319999987</v>
      </c>
      <c r="H67" s="254"/>
      <c r="I67" s="255"/>
      <c r="K67" s="255"/>
      <c r="L67" s="255"/>
    </row>
    <row r="68" spans="1:13" ht="46.5" customHeight="1" x14ac:dyDescent="0.2">
      <c r="A68" s="257">
        <f>MAX(A$21:A67)+1</f>
        <v>35</v>
      </c>
      <c r="B68" s="258" t="s">
        <v>490</v>
      </c>
      <c r="C68" s="257" t="s">
        <v>396</v>
      </c>
      <c r="D68" s="258" t="s">
        <v>398</v>
      </c>
      <c r="E68" s="259">
        <f>(0.48+0.554)*1000*33.24*1.2*1.3*0.6</f>
        <v>32170.469760000004</v>
      </c>
      <c r="F68" s="260">
        <v>1</v>
      </c>
      <c r="G68" s="261">
        <f>E68*F68</f>
        <v>32170.469760000004</v>
      </c>
      <c r="H68" s="254"/>
      <c r="I68" s="255"/>
      <c r="K68" s="255"/>
      <c r="L68" s="255"/>
    </row>
    <row r="69" spans="1:13" ht="59.25" customHeight="1" x14ac:dyDescent="0.2">
      <c r="A69" s="257">
        <f>MAX(A$21:A68)+1</f>
        <v>36</v>
      </c>
      <c r="B69" s="258" t="s">
        <v>491</v>
      </c>
      <c r="C69" s="257" t="s">
        <v>396</v>
      </c>
      <c r="D69" s="258" t="s">
        <v>399</v>
      </c>
      <c r="E69" s="259">
        <f>(0.54+0.623)*1000*33.24*1.2*1.1*1.3*0.6</f>
        <v>39802.400352000004</v>
      </c>
      <c r="F69" s="260">
        <v>1</v>
      </c>
      <c r="G69" s="261">
        <f>E69*F69</f>
        <v>39802.400352000004</v>
      </c>
      <c r="H69" s="254"/>
      <c r="I69" s="255"/>
      <c r="K69" s="255"/>
      <c r="L69" s="255"/>
    </row>
    <row r="70" spans="1:13" x14ac:dyDescent="0.2">
      <c r="A70" s="266">
        <f>MAX(A$20:A69)+1</f>
        <v>37</v>
      </c>
      <c r="B70" s="262" t="s">
        <v>425</v>
      </c>
      <c r="C70" s="258"/>
      <c r="D70" s="258"/>
      <c r="E70" s="259"/>
      <c r="F70" s="263"/>
      <c r="G70" s="264">
        <f>SUM(G67:G69)</f>
        <v>132269.166432</v>
      </c>
    </row>
    <row r="71" spans="1:13" x14ac:dyDescent="0.2">
      <c r="A71" s="266"/>
      <c r="B71" s="567" t="s">
        <v>426</v>
      </c>
      <c r="C71" s="568"/>
      <c r="D71" s="568"/>
      <c r="E71" s="568"/>
      <c r="F71" s="568"/>
      <c r="G71" s="569"/>
    </row>
    <row r="72" spans="1:13" ht="19.149999999999999" customHeight="1" x14ac:dyDescent="0.2">
      <c r="A72" s="266"/>
      <c r="B72" s="560" t="s">
        <v>402</v>
      </c>
      <c r="C72" s="561"/>
      <c r="D72" s="561"/>
      <c r="E72" s="561"/>
      <c r="F72" s="561"/>
      <c r="G72" s="562"/>
      <c r="H72" s="267"/>
    </row>
    <row r="73" spans="1:13" ht="92.25" customHeight="1" x14ac:dyDescent="0.2">
      <c r="A73" s="257">
        <f>MAX(A$21:A72)+1</f>
        <v>38</v>
      </c>
      <c r="B73" s="198" t="s">
        <v>492</v>
      </c>
      <c r="C73" s="257" t="s">
        <v>396</v>
      </c>
      <c r="D73" s="198" t="s">
        <v>403</v>
      </c>
      <c r="E73" s="200">
        <f>(2.4+(2.45+3.68*2)*2)*4.32*1000*0.6</f>
        <v>57075.840000000004</v>
      </c>
      <c r="F73" s="268">
        <v>1</v>
      </c>
      <c r="G73" s="261">
        <f>E73*F73</f>
        <v>57075.840000000004</v>
      </c>
      <c r="H73" s="267"/>
    </row>
    <row r="74" spans="1:13" x14ac:dyDescent="0.2">
      <c r="A74" s="257">
        <f>MAX(A$21:A73)+1</f>
        <v>39</v>
      </c>
      <c r="B74" s="196" t="s">
        <v>427</v>
      </c>
      <c r="C74" s="269"/>
      <c r="D74" s="269"/>
      <c r="E74" s="199"/>
      <c r="F74" s="274"/>
      <c r="G74" s="283">
        <f>SUM(G73:G73)</f>
        <v>57075.840000000004</v>
      </c>
    </row>
    <row r="75" spans="1:13" ht="18.600000000000001" customHeight="1" x14ac:dyDescent="0.2">
      <c r="A75" s="256"/>
      <c r="B75" s="563" t="s">
        <v>428</v>
      </c>
      <c r="C75" s="564"/>
      <c r="D75" s="564"/>
      <c r="E75" s="564"/>
      <c r="F75" s="564"/>
      <c r="G75" s="565"/>
      <c r="H75" s="265"/>
      <c r="I75" s="255"/>
      <c r="K75" s="255"/>
      <c r="L75" s="255"/>
    </row>
    <row r="76" spans="1:13" ht="19.149999999999999" customHeight="1" x14ac:dyDescent="0.2">
      <c r="A76" s="266"/>
      <c r="B76" s="560" t="s">
        <v>406</v>
      </c>
      <c r="C76" s="561"/>
      <c r="D76" s="561"/>
      <c r="E76" s="561"/>
      <c r="F76" s="561"/>
      <c r="G76" s="562"/>
      <c r="H76" s="267"/>
    </row>
    <row r="77" spans="1:13" ht="61.9" customHeight="1" x14ac:dyDescent="0.2">
      <c r="A77" s="257">
        <f>MAX(A$21:A76)+1</f>
        <v>40</v>
      </c>
      <c r="B77" s="198" t="s">
        <v>493</v>
      </c>
      <c r="C77" s="257" t="s">
        <v>396</v>
      </c>
      <c r="D77" s="198" t="s">
        <v>407</v>
      </c>
      <c r="E77" s="271">
        <f>85.87*4.32*1000*0.6*0.53</f>
        <v>117964.77120000002</v>
      </c>
      <c r="F77" s="272">
        <v>1</v>
      </c>
      <c r="G77" s="261">
        <f>E77*F77</f>
        <v>117964.77120000002</v>
      </c>
      <c r="H77" s="267"/>
    </row>
    <row r="78" spans="1:13" ht="19.5" customHeight="1" x14ac:dyDescent="0.2">
      <c r="A78" s="257">
        <f>MAX(A$21:A77)+1</f>
        <v>41</v>
      </c>
      <c r="B78" s="196" t="s">
        <v>429</v>
      </c>
      <c r="C78" s="269"/>
      <c r="D78" s="269"/>
      <c r="E78" s="199"/>
      <c r="F78" s="270"/>
      <c r="G78" s="201">
        <f>G77</f>
        <v>117964.77120000002</v>
      </c>
      <c r="H78" s="267"/>
    </row>
    <row r="79" spans="1:13" x14ac:dyDescent="0.2">
      <c r="A79" s="187">
        <f>MAX(A$20:A78)+1</f>
        <v>42</v>
      </c>
      <c r="B79" s="566" t="s">
        <v>430</v>
      </c>
      <c r="C79" s="566"/>
      <c r="D79" s="269"/>
      <c r="E79" s="199"/>
      <c r="F79" s="270"/>
      <c r="G79" s="201">
        <f>G64+G70+G74+G78</f>
        <v>1093497.2032320001</v>
      </c>
      <c r="M79" s="191"/>
    </row>
    <row r="80" spans="1:13" s="228" customFormat="1" x14ac:dyDescent="0.2">
      <c r="A80" s="229"/>
      <c r="B80" s="251"/>
      <c r="C80" s="251"/>
      <c r="D80" s="284"/>
      <c r="E80" s="224"/>
      <c r="F80" s="231"/>
      <c r="G80" s="285"/>
      <c r="H80" s="227"/>
      <c r="M80" s="286"/>
    </row>
    <row r="81" spans="1:8" s="228" customFormat="1" x14ac:dyDescent="0.2">
      <c r="A81" s="187">
        <f>MAX(A$20:A80)+1</f>
        <v>43</v>
      </c>
      <c r="B81" s="251" t="s">
        <v>431</v>
      </c>
      <c r="C81" s="287"/>
      <c r="D81" s="287"/>
      <c r="E81" s="288"/>
      <c r="F81" s="231"/>
      <c r="G81" s="285">
        <f>G79+G53</f>
        <v>2068294.5529920002</v>
      </c>
      <c r="H81" s="227"/>
    </row>
    <row r="82" spans="1:8" s="228" customFormat="1" x14ac:dyDescent="0.2">
      <c r="A82" s="289"/>
      <c r="B82" s="290"/>
      <c r="C82" s="291"/>
      <c r="D82" s="291"/>
      <c r="E82" s="292"/>
      <c r="F82" s="293"/>
      <c r="G82" s="294"/>
      <c r="H82" s="227"/>
    </row>
    <row r="83" spans="1:8" s="228" customFormat="1" x14ac:dyDescent="0.2">
      <c r="A83" s="289"/>
      <c r="B83" s="290"/>
      <c r="C83" s="291"/>
      <c r="D83" s="291"/>
      <c r="E83" s="292"/>
      <c r="F83" s="293"/>
      <c r="G83" s="294"/>
      <c r="H83" s="227"/>
    </row>
    <row r="84" spans="1:8" s="228" customFormat="1" x14ac:dyDescent="0.2">
      <c r="A84" s="289"/>
      <c r="B84" s="290"/>
      <c r="C84" s="291"/>
      <c r="D84" s="291"/>
      <c r="E84" s="292"/>
      <c r="F84" s="293"/>
      <c r="G84" s="294"/>
      <c r="H84" s="227"/>
    </row>
    <row r="85" spans="1:8" s="228" customFormat="1" x14ac:dyDescent="0.2">
      <c r="A85" s="289"/>
      <c r="B85" s="290"/>
      <c r="C85" s="291"/>
      <c r="D85" s="291"/>
      <c r="E85" s="292"/>
      <c r="F85" s="293"/>
      <c r="G85" s="294"/>
      <c r="H85" s="227"/>
    </row>
  </sheetData>
  <mergeCells count="34">
    <mergeCell ref="C9:G9"/>
    <mergeCell ref="A1:G1"/>
    <mergeCell ref="A2:G2"/>
    <mergeCell ref="A3:G3"/>
    <mergeCell ref="A5:B8"/>
    <mergeCell ref="C5:G8"/>
    <mergeCell ref="B66:G66"/>
    <mergeCell ref="A22:G22"/>
    <mergeCell ref="A10:B11"/>
    <mergeCell ref="C10:G11"/>
    <mergeCell ref="A12:B13"/>
    <mergeCell ref="C12:G13"/>
    <mergeCell ref="A16:G16"/>
    <mergeCell ref="A17:C17"/>
    <mergeCell ref="A18:G18"/>
    <mergeCell ref="A19:D19"/>
    <mergeCell ref="E19:F19"/>
    <mergeCell ref="B20:G20"/>
    <mergeCell ref="A21:G21"/>
    <mergeCell ref="B47:G47"/>
    <mergeCell ref="B50:G50"/>
    <mergeCell ref="B54:G54"/>
    <mergeCell ref="A55:G55"/>
    <mergeCell ref="B65:G65"/>
    <mergeCell ref="B36:G36"/>
    <mergeCell ref="B37:G37"/>
    <mergeCell ref="B42:G42"/>
    <mergeCell ref="B43:G43"/>
    <mergeCell ref="B46:G46"/>
    <mergeCell ref="B72:G72"/>
    <mergeCell ref="B75:G75"/>
    <mergeCell ref="B76:G76"/>
    <mergeCell ref="B79:C79"/>
    <mergeCell ref="B71:G71"/>
  </mergeCells>
  <pageMargins left="0.62992125984251968" right="0" top="0.82677165354330706" bottom="0.51181102362204722" header="0.31496062992125984" footer="0.3149606299212598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26"/>
  <sheetViews>
    <sheetView topLeftCell="A17" zoomScaleNormal="100" zoomScaleSheetLayoutView="125" workbookViewId="0">
      <selection activeCell="AB22" sqref="AB22"/>
    </sheetView>
  </sheetViews>
  <sheetFormatPr defaultRowHeight="15" x14ac:dyDescent="0.2"/>
  <cols>
    <col min="1" max="1" width="5.42578125" style="209" customWidth="1"/>
    <col min="2" max="2" width="26.42578125" style="210" customWidth="1"/>
    <col min="3" max="3" width="7.42578125" style="211" customWidth="1"/>
    <col min="4" max="4" width="22.85546875" style="210" customWidth="1"/>
    <col min="5" max="5" width="12.5703125" style="212" customWidth="1"/>
    <col min="6" max="6" width="5.7109375" style="213" customWidth="1"/>
    <col min="7" max="7" width="14.42578125" style="214" customWidth="1"/>
    <col min="8" max="8" width="11.7109375" style="160" hidden="1" customWidth="1"/>
    <col min="9" max="9" width="17.140625" style="157" hidden="1" customWidth="1"/>
    <col min="10" max="10" width="13.5703125" style="157" hidden="1" customWidth="1"/>
    <col min="11" max="12" width="9.140625" style="158" hidden="1" customWidth="1"/>
    <col min="13" max="13" width="12.7109375" style="158" hidden="1" customWidth="1"/>
    <col min="14" max="14" width="11.85546875" style="158" hidden="1" customWidth="1"/>
    <col min="15" max="15" width="9.140625" style="158" hidden="1" customWidth="1"/>
    <col min="16" max="16" width="8.85546875" style="157" hidden="1" customWidth="1"/>
    <col min="17" max="24" width="9.140625" style="158" hidden="1" customWidth="1"/>
    <col min="25" max="26" width="13" style="158" hidden="1" customWidth="1"/>
    <col min="27" max="256" width="9.140625" style="158"/>
    <col min="257" max="257" width="5.42578125" style="158" customWidth="1"/>
    <col min="258" max="258" width="26.42578125" style="158" customWidth="1"/>
    <col min="259" max="259" width="7.42578125" style="158" customWidth="1"/>
    <col min="260" max="260" width="22.85546875" style="158" customWidth="1"/>
    <col min="261" max="261" width="12.5703125" style="158" customWidth="1"/>
    <col min="262" max="262" width="5.7109375" style="158" customWidth="1"/>
    <col min="263" max="263" width="14.42578125" style="158" customWidth="1"/>
    <col min="264" max="282" width="0" style="158" hidden="1" customWidth="1"/>
    <col min="283" max="512" width="9.140625" style="158"/>
    <col min="513" max="513" width="5.42578125" style="158" customWidth="1"/>
    <col min="514" max="514" width="26.42578125" style="158" customWidth="1"/>
    <col min="515" max="515" width="7.42578125" style="158" customWidth="1"/>
    <col min="516" max="516" width="22.85546875" style="158" customWidth="1"/>
    <col min="517" max="517" width="12.5703125" style="158" customWidth="1"/>
    <col min="518" max="518" width="5.7109375" style="158" customWidth="1"/>
    <col min="519" max="519" width="14.42578125" style="158" customWidth="1"/>
    <col min="520" max="538" width="0" style="158" hidden="1" customWidth="1"/>
    <col min="539" max="768" width="9.140625" style="158"/>
    <col min="769" max="769" width="5.42578125" style="158" customWidth="1"/>
    <col min="770" max="770" width="26.42578125" style="158" customWidth="1"/>
    <col min="771" max="771" width="7.42578125" style="158" customWidth="1"/>
    <col min="772" max="772" width="22.85546875" style="158" customWidth="1"/>
    <col min="773" max="773" width="12.5703125" style="158" customWidth="1"/>
    <col min="774" max="774" width="5.7109375" style="158" customWidth="1"/>
    <col min="775" max="775" width="14.42578125" style="158" customWidth="1"/>
    <col min="776" max="794" width="0" style="158" hidden="1" customWidth="1"/>
    <col min="795" max="1024" width="9.140625" style="158"/>
    <col min="1025" max="1025" width="5.42578125" style="158" customWidth="1"/>
    <col min="1026" max="1026" width="26.42578125" style="158" customWidth="1"/>
    <col min="1027" max="1027" width="7.42578125" style="158" customWidth="1"/>
    <col min="1028" max="1028" width="22.85546875" style="158" customWidth="1"/>
    <col min="1029" max="1029" width="12.5703125" style="158" customWidth="1"/>
    <col min="1030" max="1030" width="5.7109375" style="158" customWidth="1"/>
    <col min="1031" max="1031" width="14.42578125" style="158" customWidth="1"/>
    <col min="1032" max="1050" width="0" style="158" hidden="1" customWidth="1"/>
    <col min="1051" max="1280" width="9.140625" style="158"/>
    <col min="1281" max="1281" width="5.42578125" style="158" customWidth="1"/>
    <col min="1282" max="1282" width="26.42578125" style="158" customWidth="1"/>
    <col min="1283" max="1283" width="7.42578125" style="158" customWidth="1"/>
    <col min="1284" max="1284" width="22.85546875" style="158" customWidth="1"/>
    <col min="1285" max="1285" width="12.5703125" style="158" customWidth="1"/>
    <col min="1286" max="1286" width="5.7109375" style="158" customWidth="1"/>
    <col min="1287" max="1287" width="14.42578125" style="158" customWidth="1"/>
    <col min="1288" max="1306" width="0" style="158" hidden="1" customWidth="1"/>
    <col min="1307" max="1536" width="9.140625" style="158"/>
    <col min="1537" max="1537" width="5.42578125" style="158" customWidth="1"/>
    <col min="1538" max="1538" width="26.42578125" style="158" customWidth="1"/>
    <col min="1539" max="1539" width="7.42578125" style="158" customWidth="1"/>
    <col min="1540" max="1540" width="22.85546875" style="158" customWidth="1"/>
    <col min="1541" max="1541" width="12.5703125" style="158" customWidth="1"/>
    <col min="1542" max="1542" width="5.7109375" style="158" customWidth="1"/>
    <col min="1543" max="1543" width="14.42578125" style="158" customWidth="1"/>
    <col min="1544" max="1562" width="0" style="158" hidden="1" customWidth="1"/>
    <col min="1563" max="1792" width="9.140625" style="158"/>
    <col min="1793" max="1793" width="5.42578125" style="158" customWidth="1"/>
    <col min="1794" max="1794" width="26.42578125" style="158" customWidth="1"/>
    <col min="1795" max="1795" width="7.42578125" style="158" customWidth="1"/>
    <col min="1796" max="1796" width="22.85546875" style="158" customWidth="1"/>
    <col min="1797" max="1797" width="12.5703125" style="158" customWidth="1"/>
    <col min="1798" max="1798" width="5.7109375" style="158" customWidth="1"/>
    <col min="1799" max="1799" width="14.42578125" style="158" customWidth="1"/>
    <col min="1800" max="1818" width="0" style="158" hidden="1" customWidth="1"/>
    <col min="1819" max="2048" width="9.140625" style="158"/>
    <col min="2049" max="2049" width="5.42578125" style="158" customWidth="1"/>
    <col min="2050" max="2050" width="26.42578125" style="158" customWidth="1"/>
    <col min="2051" max="2051" width="7.42578125" style="158" customWidth="1"/>
    <col min="2052" max="2052" width="22.85546875" style="158" customWidth="1"/>
    <col min="2053" max="2053" width="12.5703125" style="158" customWidth="1"/>
    <col min="2054" max="2054" width="5.7109375" style="158" customWidth="1"/>
    <col min="2055" max="2055" width="14.42578125" style="158" customWidth="1"/>
    <col min="2056" max="2074" width="0" style="158" hidden="1" customWidth="1"/>
    <col min="2075" max="2304" width="9.140625" style="158"/>
    <col min="2305" max="2305" width="5.42578125" style="158" customWidth="1"/>
    <col min="2306" max="2306" width="26.42578125" style="158" customWidth="1"/>
    <col min="2307" max="2307" width="7.42578125" style="158" customWidth="1"/>
    <col min="2308" max="2308" width="22.85546875" style="158" customWidth="1"/>
    <col min="2309" max="2309" width="12.5703125" style="158" customWidth="1"/>
    <col min="2310" max="2310" width="5.7109375" style="158" customWidth="1"/>
    <col min="2311" max="2311" width="14.42578125" style="158" customWidth="1"/>
    <col min="2312" max="2330" width="0" style="158" hidden="1" customWidth="1"/>
    <col min="2331" max="2560" width="9.140625" style="158"/>
    <col min="2561" max="2561" width="5.42578125" style="158" customWidth="1"/>
    <col min="2562" max="2562" width="26.42578125" style="158" customWidth="1"/>
    <col min="2563" max="2563" width="7.42578125" style="158" customWidth="1"/>
    <col min="2564" max="2564" width="22.85546875" style="158" customWidth="1"/>
    <col min="2565" max="2565" width="12.5703125" style="158" customWidth="1"/>
    <col min="2566" max="2566" width="5.7109375" style="158" customWidth="1"/>
    <col min="2567" max="2567" width="14.42578125" style="158" customWidth="1"/>
    <col min="2568" max="2586" width="0" style="158" hidden="1" customWidth="1"/>
    <col min="2587" max="2816" width="9.140625" style="158"/>
    <col min="2817" max="2817" width="5.42578125" style="158" customWidth="1"/>
    <col min="2818" max="2818" width="26.42578125" style="158" customWidth="1"/>
    <col min="2819" max="2819" width="7.42578125" style="158" customWidth="1"/>
    <col min="2820" max="2820" width="22.85546875" style="158" customWidth="1"/>
    <col min="2821" max="2821" width="12.5703125" style="158" customWidth="1"/>
    <col min="2822" max="2822" width="5.7109375" style="158" customWidth="1"/>
    <col min="2823" max="2823" width="14.42578125" style="158" customWidth="1"/>
    <col min="2824" max="2842" width="0" style="158" hidden="1" customWidth="1"/>
    <col min="2843" max="3072" width="9.140625" style="158"/>
    <col min="3073" max="3073" width="5.42578125" style="158" customWidth="1"/>
    <col min="3074" max="3074" width="26.42578125" style="158" customWidth="1"/>
    <col min="3075" max="3075" width="7.42578125" style="158" customWidth="1"/>
    <col min="3076" max="3076" width="22.85546875" style="158" customWidth="1"/>
    <col min="3077" max="3077" width="12.5703125" style="158" customWidth="1"/>
    <col min="3078" max="3078" width="5.7109375" style="158" customWidth="1"/>
    <col min="3079" max="3079" width="14.42578125" style="158" customWidth="1"/>
    <col min="3080" max="3098" width="0" style="158" hidden="1" customWidth="1"/>
    <col min="3099" max="3328" width="9.140625" style="158"/>
    <col min="3329" max="3329" width="5.42578125" style="158" customWidth="1"/>
    <col min="3330" max="3330" width="26.42578125" style="158" customWidth="1"/>
    <col min="3331" max="3331" width="7.42578125" style="158" customWidth="1"/>
    <col min="3332" max="3332" width="22.85546875" style="158" customWidth="1"/>
    <col min="3333" max="3333" width="12.5703125" style="158" customWidth="1"/>
    <col min="3334" max="3334" width="5.7109375" style="158" customWidth="1"/>
    <col min="3335" max="3335" width="14.42578125" style="158" customWidth="1"/>
    <col min="3336" max="3354" width="0" style="158" hidden="1" customWidth="1"/>
    <col min="3355" max="3584" width="9.140625" style="158"/>
    <col min="3585" max="3585" width="5.42578125" style="158" customWidth="1"/>
    <col min="3586" max="3586" width="26.42578125" style="158" customWidth="1"/>
    <col min="3587" max="3587" width="7.42578125" style="158" customWidth="1"/>
    <col min="3588" max="3588" width="22.85546875" style="158" customWidth="1"/>
    <col min="3589" max="3589" width="12.5703125" style="158" customWidth="1"/>
    <col min="3590" max="3590" width="5.7109375" style="158" customWidth="1"/>
    <col min="3591" max="3591" width="14.42578125" style="158" customWidth="1"/>
    <col min="3592" max="3610" width="0" style="158" hidden="1" customWidth="1"/>
    <col min="3611" max="3840" width="9.140625" style="158"/>
    <col min="3841" max="3841" width="5.42578125" style="158" customWidth="1"/>
    <col min="3842" max="3842" width="26.42578125" style="158" customWidth="1"/>
    <col min="3843" max="3843" width="7.42578125" style="158" customWidth="1"/>
    <col min="3844" max="3844" width="22.85546875" style="158" customWidth="1"/>
    <col min="3845" max="3845" width="12.5703125" style="158" customWidth="1"/>
    <col min="3846" max="3846" width="5.7109375" style="158" customWidth="1"/>
    <col min="3847" max="3847" width="14.42578125" style="158" customWidth="1"/>
    <col min="3848" max="3866" width="0" style="158" hidden="1" customWidth="1"/>
    <col min="3867" max="4096" width="9.140625" style="158"/>
    <col min="4097" max="4097" width="5.42578125" style="158" customWidth="1"/>
    <col min="4098" max="4098" width="26.42578125" style="158" customWidth="1"/>
    <col min="4099" max="4099" width="7.42578125" style="158" customWidth="1"/>
    <col min="4100" max="4100" width="22.85546875" style="158" customWidth="1"/>
    <col min="4101" max="4101" width="12.5703125" style="158" customWidth="1"/>
    <col min="4102" max="4102" width="5.7109375" style="158" customWidth="1"/>
    <col min="4103" max="4103" width="14.42578125" style="158" customWidth="1"/>
    <col min="4104" max="4122" width="0" style="158" hidden="1" customWidth="1"/>
    <col min="4123" max="4352" width="9.140625" style="158"/>
    <col min="4353" max="4353" width="5.42578125" style="158" customWidth="1"/>
    <col min="4354" max="4354" width="26.42578125" style="158" customWidth="1"/>
    <col min="4355" max="4355" width="7.42578125" style="158" customWidth="1"/>
    <col min="4356" max="4356" width="22.85546875" style="158" customWidth="1"/>
    <col min="4357" max="4357" width="12.5703125" style="158" customWidth="1"/>
    <col min="4358" max="4358" width="5.7109375" style="158" customWidth="1"/>
    <col min="4359" max="4359" width="14.42578125" style="158" customWidth="1"/>
    <col min="4360" max="4378" width="0" style="158" hidden="1" customWidth="1"/>
    <col min="4379" max="4608" width="9.140625" style="158"/>
    <col min="4609" max="4609" width="5.42578125" style="158" customWidth="1"/>
    <col min="4610" max="4610" width="26.42578125" style="158" customWidth="1"/>
    <col min="4611" max="4611" width="7.42578125" style="158" customWidth="1"/>
    <col min="4612" max="4612" width="22.85546875" style="158" customWidth="1"/>
    <col min="4613" max="4613" width="12.5703125" style="158" customWidth="1"/>
    <col min="4614" max="4614" width="5.7109375" style="158" customWidth="1"/>
    <col min="4615" max="4615" width="14.42578125" style="158" customWidth="1"/>
    <col min="4616" max="4634" width="0" style="158" hidden="1" customWidth="1"/>
    <col min="4635" max="4864" width="9.140625" style="158"/>
    <col min="4865" max="4865" width="5.42578125" style="158" customWidth="1"/>
    <col min="4866" max="4866" width="26.42578125" style="158" customWidth="1"/>
    <col min="4867" max="4867" width="7.42578125" style="158" customWidth="1"/>
    <col min="4868" max="4868" width="22.85546875" style="158" customWidth="1"/>
    <col min="4869" max="4869" width="12.5703125" style="158" customWidth="1"/>
    <col min="4870" max="4870" width="5.7109375" style="158" customWidth="1"/>
    <col min="4871" max="4871" width="14.42578125" style="158" customWidth="1"/>
    <col min="4872" max="4890" width="0" style="158" hidden="1" customWidth="1"/>
    <col min="4891" max="5120" width="9.140625" style="158"/>
    <col min="5121" max="5121" width="5.42578125" style="158" customWidth="1"/>
    <col min="5122" max="5122" width="26.42578125" style="158" customWidth="1"/>
    <col min="5123" max="5123" width="7.42578125" style="158" customWidth="1"/>
    <col min="5124" max="5124" width="22.85546875" style="158" customWidth="1"/>
    <col min="5125" max="5125" width="12.5703125" style="158" customWidth="1"/>
    <col min="5126" max="5126" width="5.7109375" style="158" customWidth="1"/>
    <col min="5127" max="5127" width="14.42578125" style="158" customWidth="1"/>
    <col min="5128" max="5146" width="0" style="158" hidden="1" customWidth="1"/>
    <col min="5147" max="5376" width="9.140625" style="158"/>
    <col min="5377" max="5377" width="5.42578125" style="158" customWidth="1"/>
    <col min="5378" max="5378" width="26.42578125" style="158" customWidth="1"/>
    <col min="5379" max="5379" width="7.42578125" style="158" customWidth="1"/>
    <col min="5380" max="5380" width="22.85546875" style="158" customWidth="1"/>
    <col min="5381" max="5381" width="12.5703125" style="158" customWidth="1"/>
    <col min="5382" max="5382" width="5.7109375" style="158" customWidth="1"/>
    <col min="5383" max="5383" width="14.42578125" style="158" customWidth="1"/>
    <col min="5384" max="5402" width="0" style="158" hidden="1" customWidth="1"/>
    <col min="5403" max="5632" width="9.140625" style="158"/>
    <col min="5633" max="5633" width="5.42578125" style="158" customWidth="1"/>
    <col min="5634" max="5634" width="26.42578125" style="158" customWidth="1"/>
    <col min="5635" max="5635" width="7.42578125" style="158" customWidth="1"/>
    <col min="5636" max="5636" width="22.85546875" style="158" customWidth="1"/>
    <col min="5637" max="5637" width="12.5703125" style="158" customWidth="1"/>
    <col min="5638" max="5638" width="5.7109375" style="158" customWidth="1"/>
    <col min="5639" max="5639" width="14.42578125" style="158" customWidth="1"/>
    <col min="5640" max="5658" width="0" style="158" hidden="1" customWidth="1"/>
    <col min="5659" max="5888" width="9.140625" style="158"/>
    <col min="5889" max="5889" width="5.42578125" style="158" customWidth="1"/>
    <col min="5890" max="5890" width="26.42578125" style="158" customWidth="1"/>
    <col min="5891" max="5891" width="7.42578125" style="158" customWidth="1"/>
    <col min="5892" max="5892" width="22.85546875" style="158" customWidth="1"/>
    <col min="5893" max="5893" width="12.5703125" style="158" customWidth="1"/>
    <col min="5894" max="5894" width="5.7109375" style="158" customWidth="1"/>
    <col min="5895" max="5895" width="14.42578125" style="158" customWidth="1"/>
    <col min="5896" max="5914" width="0" style="158" hidden="1" customWidth="1"/>
    <col min="5915" max="6144" width="9.140625" style="158"/>
    <col min="6145" max="6145" width="5.42578125" style="158" customWidth="1"/>
    <col min="6146" max="6146" width="26.42578125" style="158" customWidth="1"/>
    <col min="6147" max="6147" width="7.42578125" style="158" customWidth="1"/>
    <col min="6148" max="6148" width="22.85546875" style="158" customWidth="1"/>
    <col min="6149" max="6149" width="12.5703125" style="158" customWidth="1"/>
    <col min="6150" max="6150" width="5.7109375" style="158" customWidth="1"/>
    <col min="6151" max="6151" width="14.42578125" style="158" customWidth="1"/>
    <col min="6152" max="6170" width="0" style="158" hidden="1" customWidth="1"/>
    <col min="6171" max="6400" width="9.140625" style="158"/>
    <col min="6401" max="6401" width="5.42578125" style="158" customWidth="1"/>
    <col min="6402" max="6402" width="26.42578125" style="158" customWidth="1"/>
    <col min="6403" max="6403" width="7.42578125" style="158" customWidth="1"/>
    <col min="6404" max="6404" width="22.85546875" style="158" customWidth="1"/>
    <col min="6405" max="6405" width="12.5703125" style="158" customWidth="1"/>
    <col min="6406" max="6406" width="5.7109375" style="158" customWidth="1"/>
    <col min="6407" max="6407" width="14.42578125" style="158" customWidth="1"/>
    <col min="6408" max="6426" width="0" style="158" hidden="1" customWidth="1"/>
    <col min="6427" max="6656" width="9.140625" style="158"/>
    <col min="6657" max="6657" width="5.42578125" style="158" customWidth="1"/>
    <col min="6658" max="6658" width="26.42578125" style="158" customWidth="1"/>
    <col min="6659" max="6659" width="7.42578125" style="158" customWidth="1"/>
    <col min="6660" max="6660" width="22.85546875" style="158" customWidth="1"/>
    <col min="6661" max="6661" width="12.5703125" style="158" customWidth="1"/>
    <col min="6662" max="6662" width="5.7109375" style="158" customWidth="1"/>
    <col min="6663" max="6663" width="14.42578125" style="158" customWidth="1"/>
    <col min="6664" max="6682" width="0" style="158" hidden="1" customWidth="1"/>
    <col min="6683" max="6912" width="9.140625" style="158"/>
    <col min="6913" max="6913" width="5.42578125" style="158" customWidth="1"/>
    <col min="6914" max="6914" width="26.42578125" style="158" customWidth="1"/>
    <col min="6915" max="6915" width="7.42578125" style="158" customWidth="1"/>
    <col min="6916" max="6916" width="22.85546875" style="158" customWidth="1"/>
    <col min="6917" max="6917" width="12.5703125" style="158" customWidth="1"/>
    <col min="6918" max="6918" width="5.7109375" style="158" customWidth="1"/>
    <col min="6919" max="6919" width="14.42578125" style="158" customWidth="1"/>
    <col min="6920" max="6938" width="0" style="158" hidden="1" customWidth="1"/>
    <col min="6939" max="7168" width="9.140625" style="158"/>
    <col min="7169" max="7169" width="5.42578125" style="158" customWidth="1"/>
    <col min="7170" max="7170" width="26.42578125" style="158" customWidth="1"/>
    <col min="7171" max="7171" width="7.42578125" style="158" customWidth="1"/>
    <col min="7172" max="7172" width="22.85546875" style="158" customWidth="1"/>
    <col min="7173" max="7173" width="12.5703125" style="158" customWidth="1"/>
    <col min="7174" max="7174" width="5.7109375" style="158" customWidth="1"/>
    <col min="7175" max="7175" width="14.42578125" style="158" customWidth="1"/>
    <col min="7176" max="7194" width="0" style="158" hidden="1" customWidth="1"/>
    <col min="7195" max="7424" width="9.140625" style="158"/>
    <col min="7425" max="7425" width="5.42578125" style="158" customWidth="1"/>
    <col min="7426" max="7426" width="26.42578125" style="158" customWidth="1"/>
    <col min="7427" max="7427" width="7.42578125" style="158" customWidth="1"/>
    <col min="7428" max="7428" width="22.85546875" style="158" customWidth="1"/>
    <col min="7429" max="7429" width="12.5703125" style="158" customWidth="1"/>
    <col min="7430" max="7430" width="5.7109375" style="158" customWidth="1"/>
    <col min="7431" max="7431" width="14.42578125" style="158" customWidth="1"/>
    <col min="7432" max="7450" width="0" style="158" hidden="1" customWidth="1"/>
    <col min="7451" max="7680" width="9.140625" style="158"/>
    <col min="7681" max="7681" width="5.42578125" style="158" customWidth="1"/>
    <col min="7682" max="7682" width="26.42578125" style="158" customWidth="1"/>
    <col min="7683" max="7683" width="7.42578125" style="158" customWidth="1"/>
    <col min="7684" max="7684" width="22.85546875" style="158" customWidth="1"/>
    <col min="7685" max="7685" width="12.5703125" style="158" customWidth="1"/>
    <col min="7686" max="7686" width="5.7109375" style="158" customWidth="1"/>
    <col min="7687" max="7687" width="14.42578125" style="158" customWidth="1"/>
    <col min="7688" max="7706" width="0" style="158" hidden="1" customWidth="1"/>
    <col min="7707" max="7936" width="9.140625" style="158"/>
    <col min="7937" max="7937" width="5.42578125" style="158" customWidth="1"/>
    <col min="7938" max="7938" width="26.42578125" style="158" customWidth="1"/>
    <col min="7939" max="7939" width="7.42578125" style="158" customWidth="1"/>
    <col min="7940" max="7940" width="22.85546875" style="158" customWidth="1"/>
    <col min="7941" max="7941" width="12.5703125" style="158" customWidth="1"/>
    <col min="7942" max="7942" width="5.7109375" style="158" customWidth="1"/>
    <col min="7943" max="7943" width="14.42578125" style="158" customWidth="1"/>
    <col min="7944" max="7962" width="0" style="158" hidden="1" customWidth="1"/>
    <col min="7963" max="8192" width="9.140625" style="158"/>
    <col min="8193" max="8193" width="5.42578125" style="158" customWidth="1"/>
    <col min="8194" max="8194" width="26.42578125" style="158" customWidth="1"/>
    <col min="8195" max="8195" width="7.42578125" style="158" customWidth="1"/>
    <col min="8196" max="8196" width="22.85546875" style="158" customWidth="1"/>
    <col min="8197" max="8197" width="12.5703125" style="158" customWidth="1"/>
    <col min="8198" max="8198" width="5.7109375" style="158" customWidth="1"/>
    <col min="8199" max="8199" width="14.42578125" style="158" customWidth="1"/>
    <col min="8200" max="8218" width="0" style="158" hidden="1" customWidth="1"/>
    <col min="8219" max="8448" width="9.140625" style="158"/>
    <col min="8449" max="8449" width="5.42578125" style="158" customWidth="1"/>
    <col min="8450" max="8450" width="26.42578125" style="158" customWidth="1"/>
    <col min="8451" max="8451" width="7.42578125" style="158" customWidth="1"/>
    <col min="8452" max="8452" width="22.85546875" style="158" customWidth="1"/>
    <col min="8453" max="8453" width="12.5703125" style="158" customWidth="1"/>
    <col min="8454" max="8454" width="5.7109375" style="158" customWidth="1"/>
    <col min="8455" max="8455" width="14.42578125" style="158" customWidth="1"/>
    <col min="8456" max="8474" width="0" style="158" hidden="1" customWidth="1"/>
    <col min="8475" max="8704" width="9.140625" style="158"/>
    <col min="8705" max="8705" width="5.42578125" style="158" customWidth="1"/>
    <col min="8706" max="8706" width="26.42578125" style="158" customWidth="1"/>
    <col min="8707" max="8707" width="7.42578125" style="158" customWidth="1"/>
    <col min="8708" max="8708" width="22.85546875" style="158" customWidth="1"/>
    <col min="8709" max="8709" width="12.5703125" style="158" customWidth="1"/>
    <col min="8710" max="8710" width="5.7109375" style="158" customWidth="1"/>
    <col min="8711" max="8711" width="14.42578125" style="158" customWidth="1"/>
    <col min="8712" max="8730" width="0" style="158" hidden="1" customWidth="1"/>
    <col min="8731" max="8960" width="9.140625" style="158"/>
    <col min="8961" max="8961" width="5.42578125" style="158" customWidth="1"/>
    <col min="8962" max="8962" width="26.42578125" style="158" customWidth="1"/>
    <col min="8963" max="8963" width="7.42578125" style="158" customWidth="1"/>
    <col min="8964" max="8964" width="22.85546875" style="158" customWidth="1"/>
    <col min="8965" max="8965" width="12.5703125" style="158" customWidth="1"/>
    <col min="8966" max="8966" width="5.7109375" style="158" customWidth="1"/>
    <col min="8967" max="8967" width="14.42578125" style="158" customWidth="1"/>
    <col min="8968" max="8986" width="0" style="158" hidden="1" customWidth="1"/>
    <col min="8987" max="9216" width="9.140625" style="158"/>
    <col min="9217" max="9217" width="5.42578125" style="158" customWidth="1"/>
    <col min="9218" max="9218" width="26.42578125" style="158" customWidth="1"/>
    <col min="9219" max="9219" width="7.42578125" style="158" customWidth="1"/>
    <col min="9220" max="9220" width="22.85546875" style="158" customWidth="1"/>
    <col min="9221" max="9221" width="12.5703125" style="158" customWidth="1"/>
    <col min="9222" max="9222" width="5.7109375" style="158" customWidth="1"/>
    <col min="9223" max="9223" width="14.42578125" style="158" customWidth="1"/>
    <col min="9224" max="9242" width="0" style="158" hidden="1" customWidth="1"/>
    <col min="9243" max="9472" width="9.140625" style="158"/>
    <col min="9473" max="9473" width="5.42578125" style="158" customWidth="1"/>
    <col min="9474" max="9474" width="26.42578125" style="158" customWidth="1"/>
    <col min="9475" max="9475" width="7.42578125" style="158" customWidth="1"/>
    <col min="9476" max="9476" width="22.85546875" style="158" customWidth="1"/>
    <col min="9477" max="9477" width="12.5703125" style="158" customWidth="1"/>
    <col min="9478" max="9478" width="5.7109375" style="158" customWidth="1"/>
    <col min="9479" max="9479" width="14.42578125" style="158" customWidth="1"/>
    <col min="9480" max="9498" width="0" style="158" hidden="1" customWidth="1"/>
    <col min="9499" max="9728" width="9.140625" style="158"/>
    <col min="9729" max="9729" width="5.42578125" style="158" customWidth="1"/>
    <col min="9730" max="9730" width="26.42578125" style="158" customWidth="1"/>
    <col min="9731" max="9731" width="7.42578125" style="158" customWidth="1"/>
    <col min="9732" max="9732" width="22.85546875" style="158" customWidth="1"/>
    <col min="9733" max="9733" width="12.5703125" style="158" customWidth="1"/>
    <col min="9734" max="9734" width="5.7109375" style="158" customWidth="1"/>
    <col min="9735" max="9735" width="14.42578125" style="158" customWidth="1"/>
    <col min="9736" max="9754" width="0" style="158" hidden="1" customWidth="1"/>
    <col min="9755" max="9984" width="9.140625" style="158"/>
    <col min="9985" max="9985" width="5.42578125" style="158" customWidth="1"/>
    <col min="9986" max="9986" width="26.42578125" style="158" customWidth="1"/>
    <col min="9987" max="9987" width="7.42578125" style="158" customWidth="1"/>
    <col min="9988" max="9988" width="22.85546875" style="158" customWidth="1"/>
    <col min="9989" max="9989" width="12.5703125" style="158" customWidth="1"/>
    <col min="9990" max="9990" width="5.7109375" style="158" customWidth="1"/>
    <col min="9991" max="9991" width="14.42578125" style="158" customWidth="1"/>
    <col min="9992" max="10010" width="0" style="158" hidden="1" customWidth="1"/>
    <col min="10011" max="10240" width="9.140625" style="158"/>
    <col min="10241" max="10241" width="5.42578125" style="158" customWidth="1"/>
    <col min="10242" max="10242" width="26.42578125" style="158" customWidth="1"/>
    <col min="10243" max="10243" width="7.42578125" style="158" customWidth="1"/>
    <col min="10244" max="10244" width="22.85546875" style="158" customWidth="1"/>
    <col min="10245" max="10245" width="12.5703125" style="158" customWidth="1"/>
    <col min="10246" max="10246" width="5.7109375" style="158" customWidth="1"/>
    <col min="10247" max="10247" width="14.42578125" style="158" customWidth="1"/>
    <col min="10248" max="10266" width="0" style="158" hidden="1" customWidth="1"/>
    <col min="10267" max="10496" width="9.140625" style="158"/>
    <col min="10497" max="10497" width="5.42578125" style="158" customWidth="1"/>
    <col min="10498" max="10498" width="26.42578125" style="158" customWidth="1"/>
    <col min="10499" max="10499" width="7.42578125" style="158" customWidth="1"/>
    <col min="10500" max="10500" width="22.85546875" style="158" customWidth="1"/>
    <col min="10501" max="10501" width="12.5703125" style="158" customWidth="1"/>
    <col min="10502" max="10502" width="5.7109375" style="158" customWidth="1"/>
    <col min="10503" max="10503" width="14.42578125" style="158" customWidth="1"/>
    <col min="10504" max="10522" width="0" style="158" hidden="1" customWidth="1"/>
    <col min="10523" max="10752" width="9.140625" style="158"/>
    <col min="10753" max="10753" width="5.42578125" style="158" customWidth="1"/>
    <col min="10754" max="10754" width="26.42578125" style="158" customWidth="1"/>
    <col min="10755" max="10755" width="7.42578125" style="158" customWidth="1"/>
    <col min="10756" max="10756" width="22.85546875" style="158" customWidth="1"/>
    <col min="10757" max="10757" width="12.5703125" style="158" customWidth="1"/>
    <col min="10758" max="10758" width="5.7109375" style="158" customWidth="1"/>
    <col min="10759" max="10759" width="14.42578125" style="158" customWidth="1"/>
    <col min="10760" max="10778" width="0" style="158" hidden="1" customWidth="1"/>
    <col min="10779" max="11008" width="9.140625" style="158"/>
    <col min="11009" max="11009" width="5.42578125" style="158" customWidth="1"/>
    <col min="11010" max="11010" width="26.42578125" style="158" customWidth="1"/>
    <col min="11011" max="11011" width="7.42578125" style="158" customWidth="1"/>
    <col min="11012" max="11012" width="22.85546875" style="158" customWidth="1"/>
    <col min="11013" max="11013" width="12.5703125" style="158" customWidth="1"/>
    <col min="11014" max="11014" width="5.7109375" style="158" customWidth="1"/>
    <col min="11015" max="11015" width="14.42578125" style="158" customWidth="1"/>
    <col min="11016" max="11034" width="0" style="158" hidden="1" customWidth="1"/>
    <col min="11035" max="11264" width="9.140625" style="158"/>
    <col min="11265" max="11265" width="5.42578125" style="158" customWidth="1"/>
    <col min="11266" max="11266" width="26.42578125" style="158" customWidth="1"/>
    <col min="11267" max="11267" width="7.42578125" style="158" customWidth="1"/>
    <col min="11268" max="11268" width="22.85546875" style="158" customWidth="1"/>
    <col min="11269" max="11269" width="12.5703125" style="158" customWidth="1"/>
    <col min="11270" max="11270" width="5.7109375" style="158" customWidth="1"/>
    <col min="11271" max="11271" width="14.42578125" style="158" customWidth="1"/>
    <col min="11272" max="11290" width="0" style="158" hidden="1" customWidth="1"/>
    <col min="11291" max="11520" width="9.140625" style="158"/>
    <col min="11521" max="11521" width="5.42578125" style="158" customWidth="1"/>
    <col min="11522" max="11522" width="26.42578125" style="158" customWidth="1"/>
    <col min="11523" max="11523" width="7.42578125" style="158" customWidth="1"/>
    <col min="11524" max="11524" width="22.85546875" style="158" customWidth="1"/>
    <col min="11525" max="11525" width="12.5703125" style="158" customWidth="1"/>
    <col min="11526" max="11526" width="5.7109375" style="158" customWidth="1"/>
    <col min="11527" max="11527" width="14.42578125" style="158" customWidth="1"/>
    <col min="11528" max="11546" width="0" style="158" hidden="1" customWidth="1"/>
    <col min="11547" max="11776" width="9.140625" style="158"/>
    <col min="11777" max="11777" width="5.42578125" style="158" customWidth="1"/>
    <col min="11778" max="11778" width="26.42578125" style="158" customWidth="1"/>
    <col min="11779" max="11779" width="7.42578125" style="158" customWidth="1"/>
    <col min="11780" max="11780" width="22.85546875" style="158" customWidth="1"/>
    <col min="11781" max="11781" width="12.5703125" style="158" customWidth="1"/>
    <col min="11782" max="11782" width="5.7109375" style="158" customWidth="1"/>
    <col min="11783" max="11783" width="14.42578125" style="158" customWidth="1"/>
    <col min="11784" max="11802" width="0" style="158" hidden="1" customWidth="1"/>
    <col min="11803" max="12032" width="9.140625" style="158"/>
    <col min="12033" max="12033" width="5.42578125" style="158" customWidth="1"/>
    <col min="12034" max="12034" width="26.42578125" style="158" customWidth="1"/>
    <col min="12035" max="12035" width="7.42578125" style="158" customWidth="1"/>
    <col min="12036" max="12036" width="22.85546875" style="158" customWidth="1"/>
    <col min="12037" max="12037" width="12.5703125" style="158" customWidth="1"/>
    <col min="12038" max="12038" width="5.7109375" style="158" customWidth="1"/>
    <col min="12039" max="12039" width="14.42578125" style="158" customWidth="1"/>
    <col min="12040" max="12058" width="0" style="158" hidden="1" customWidth="1"/>
    <col min="12059" max="12288" width="9.140625" style="158"/>
    <col min="12289" max="12289" width="5.42578125" style="158" customWidth="1"/>
    <col min="12290" max="12290" width="26.42578125" style="158" customWidth="1"/>
    <col min="12291" max="12291" width="7.42578125" style="158" customWidth="1"/>
    <col min="12292" max="12292" width="22.85546875" style="158" customWidth="1"/>
    <col min="12293" max="12293" width="12.5703125" style="158" customWidth="1"/>
    <col min="12294" max="12294" width="5.7109375" style="158" customWidth="1"/>
    <col min="12295" max="12295" width="14.42578125" style="158" customWidth="1"/>
    <col min="12296" max="12314" width="0" style="158" hidden="1" customWidth="1"/>
    <col min="12315" max="12544" width="9.140625" style="158"/>
    <col min="12545" max="12545" width="5.42578125" style="158" customWidth="1"/>
    <col min="12546" max="12546" width="26.42578125" style="158" customWidth="1"/>
    <col min="12547" max="12547" width="7.42578125" style="158" customWidth="1"/>
    <col min="12548" max="12548" width="22.85546875" style="158" customWidth="1"/>
    <col min="12549" max="12549" width="12.5703125" style="158" customWidth="1"/>
    <col min="12550" max="12550" width="5.7109375" style="158" customWidth="1"/>
    <col min="12551" max="12551" width="14.42578125" style="158" customWidth="1"/>
    <col min="12552" max="12570" width="0" style="158" hidden="1" customWidth="1"/>
    <col min="12571" max="12800" width="9.140625" style="158"/>
    <col min="12801" max="12801" width="5.42578125" style="158" customWidth="1"/>
    <col min="12802" max="12802" width="26.42578125" style="158" customWidth="1"/>
    <col min="12803" max="12803" width="7.42578125" style="158" customWidth="1"/>
    <col min="12804" max="12804" width="22.85546875" style="158" customWidth="1"/>
    <col min="12805" max="12805" width="12.5703125" style="158" customWidth="1"/>
    <col min="12806" max="12806" width="5.7109375" style="158" customWidth="1"/>
    <col min="12807" max="12807" width="14.42578125" style="158" customWidth="1"/>
    <col min="12808" max="12826" width="0" style="158" hidden="1" customWidth="1"/>
    <col min="12827" max="13056" width="9.140625" style="158"/>
    <col min="13057" max="13057" width="5.42578125" style="158" customWidth="1"/>
    <col min="13058" max="13058" width="26.42578125" style="158" customWidth="1"/>
    <col min="13059" max="13059" width="7.42578125" style="158" customWidth="1"/>
    <col min="13060" max="13060" width="22.85546875" style="158" customWidth="1"/>
    <col min="13061" max="13061" width="12.5703125" style="158" customWidth="1"/>
    <col min="13062" max="13062" width="5.7109375" style="158" customWidth="1"/>
    <col min="13063" max="13063" width="14.42578125" style="158" customWidth="1"/>
    <col min="13064" max="13082" width="0" style="158" hidden="1" customWidth="1"/>
    <col min="13083" max="13312" width="9.140625" style="158"/>
    <col min="13313" max="13313" width="5.42578125" style="158" customWidth="1"/>
    <col min="13314" max="13314" width="26.42578125" style="158" customWidth="1"/>
    <col min="13315" max="13315" width="7.42578125" style="158" customWidth="1"/>
    <col min="13316" max="13316" width="22.85546875" style="158" customWidth="1"/>
    <col min="13317" max="13317" width="12.5703125" style="158" customWidth="1"/>
    <col min="13318" max="13318" width="5.7109375" style="158" customWidth="1"/>
    <col min="13319" max="13319" width="14.42578125" style="158" customWidth="1"/>
    <col min="13320" max="13338" width="0" style="158" hidden="1" customWidth="1"/>
    <col min="13339" max="13568" width="9.140625" style="158"/>
    <col min="13569" max="13569" width="5.42578125" style="158" customWidth="1"/>
    <col min="13570" max="13570" width="26.42578125" style="158" customWidth="1"/>
    <col min="13571" max="13571" width="7.42578125" style="158" customWidth="1"/>
    <col min="13572" max="13572" width="22.85546875" style="158" customWidth="1"/>
    <col min="13573" max="13573" width="12.5703125" style="158" customWidth="1"/>
    <col min="13574" max="13574" width="5.7109375" style="158" customWidth="1"/>
    <col min="13575" max="13575" width="14.42578125" style="158" customWidth="1"/>
    <col min="13576" max="13594" width="0" style="158" hidden="1" customWidth="1"/>
    <col min="13595" max="13824" width="9.140625" style="158"/>
    <col min="13825" max="13825" width="5.42578125" style="158" customWidth="1"/>
    <col min="13826" max="13826" width="26.42578125" style="158" customWidth="1"/>
    <col min="13827" max="13827" width="7.42578125" style="158" customWidth="1"/>
    <col min="13828" max="13828" width="22.85546875" style="158" customWidth="1"/>
    <col min="13829" max="13829" width="12.5703125" style="158" customWidth="1"/>
    <col min="13830" max="13830" width="5.7109375" style="158" customWidth="1"/>
    <col min="13831" max="13831" width="14.42578125" style="158" customWidth="1"/>
    <col min="13832" max="13850" width="0" style="158" hidden="1" customWidth="1"/>
    <col min="13851" max="14080" width="9.140625" style="158"/>
    <col min="14081" max="14081" width="5.42578125" style="158" customWidth="1"/>
    <col min="14082" max="14082" width="26.42578125" style="158" customWidth="1"/>
    <col min="14083" max="14083" width="7.42578125" style="158" customWidth="1"/>
    <col min="14084" max="14084" width="22.85546875" style="158" customWidth="1"/>
    <col min="14085" max="14085" width="12.5703125" style="158" customWidth="1"/>
    <col min="14086" max="14086" width="5.7109375" style="158" customWidth="1"/>
    <col min="14087" max="14087" width="14.42578125" style="158" customWidth="1"/>
    <col min="14088" max="14106" width="0" style="158" hidden="1" customWidth="1"/>
    <col min="14107" max="14336" width="9.140625" style="158"/>
    <col min="14337" max="14337" width="5.42578125" style="158" customWidth="1"/>
    <col min="14338" max="14338" width="26.42578125" style="158" customWidth="1"/>
    <col min="14339" max="14339" width="7.42578125" style="158" customWidth="1"/>
    <col min="14340" max="14340" width="22.85546875" style="158" customWidth="1"/>
    <col min="14341" max="14341" width="12.5703125" style="158" customWidth="1"/>
    <col min="14342" max="14342" width="5.7109375" style="158" customWidth="1"/>
    <col min="14343" max="14343" width="14.42578125" style="158" customWidth="1"/>
    <col min="14344" max="14362" width="0" style="158" hidden="1" customWidth="1"/>
    <col min="14363" max="14592" width="9.140625" style="158"/>
    <col min="14593" max="14593" width="5.42578125" style="158" customWidth="1"/>
    <col min="14594" max="14594" width="26.42578125" style="158" customWidth="1"/>
    <col min="14595" max="14595" width="7.42578125" style="158" customWidth="1"/>
    <col min="14596" max="14596" width="22.85546875" style="158" customWidth="1"/>
    <col min="14597" max="14597" width="12.5703125" style="158" customWidth="1"/>
    <col min="14598" max="14598" width="5.7109375" style="158" customWidth="1"/>
    <col min="14599" max="14599" width="14.42578125" style="158" customWidth="1"/>
    <col min="14600" max="14618" width="0" style="158" hidden="1" customWidth="1"/>
    <col min="14619" max="14848" width="9.140625" style="158"/>
    <col min="14849" max="14849" width="5.42578125" style="158" customWidth="1"/>
    <col min="14850" max="14850" width="26.42578125" style="158" customWidth="1"/>
    <col min="14851" max="14851" width="7.42578125" style="158" customWidth="1"/>
    <col min="14852" max="14852" width="22.85546875" style="158" customWidth="1"/>
    <col min="14853" max="14853" width="12.5703125" style="158" customWidth="1"/>
    <col min="14854" max="14854" width="5.7109375" style="158" customWidth="1"/>
    <col min="14855" max="14855" width="14.42578125" style="158" customWidth="1"/>
    <col min="14856" max="14874" width="0" style="158" hidden="1" customWidth="1"/>
    <col min="14875" max="15104" width="9.140625" style="158"/>
    <col min="15105" max="15105" width="5.42578125" style="158" customWidth="1"/>
    <col min="15106" max="15106" width="26.42578125" style="158" customWidth="1"/>
    <col min="15107" max="15107" width="7.42578125" style="158" customWidth="1"/>
    <col min="15108" max="15108" width="22.85546875" style="158" customWidth="1"/>
    <col min="15109" max="15109" width="12.5703125" style="158" customWidth="1"/>
    <col min="15110" max="15110" width="5.7109375" style="158" customWidth="1"/>
    <col min="15111" max="15111" width="14.42578125" style="158" customWidth="1"/>
    <col min="15112" max="15130" width="0" style="158" hidden="1" customWidth="1"/>
    <col min="15131" max="15360" width="9.140625" style="158"/>
    <col min="15361" max="15361" width="5.42578125" style="158" customWidth="1"/>
    <col min="15362" max="15362" width="26.42578125" style="158" customWidth="1"/>
    <col min="15363" max="15363" width="7.42578125" style="158" customWidth="1"/>
    <col min="15364" max="15364" width="22.85546875" style="158" customWidth="1"/>
    <col min="15365" max="15365" width="12.5703125" style="158" customWidth="1"/>
    <col min="15366" max="15366" width="5.7109375" style="158" customWidth="1"/>
    <col min="15367" max="15367" width="14.42578125" style="158" customWidth="1"/>
    <col min="15368" max="15386" width="0" style="158" hidden="1" customWidth="1"/>
    <col min="15387" max="15616" width="9.140625" style="158"/>
    <col min="15617" max="15617" width="5.42578125" style="158" customWidth="1"/>
    <col min="15618" max="15618" width="26.42578125" style="158" customWidth="1"/>
    <col min="15619" max="15619" width="7.42578125" style="158" customWidth="1"/>
    <col min="15620" max="15620" width="22.85546875" style="158" customWidth="1"/>
    <col min="15621" max="15621" width="12.5703125" style="158" customWidth="1"/>
    <col min="15622" max="15622" width="5.7109375" style="158" customWidth="1"/>
    <col min="15623" max="15623" width="14.42578125" style="158" customWidth="1"/>
    <col min="15624" max="15642" width="0" style="158" hidden="1" customWidth="1"/>
    <col min="15643" max="15872" width="9.140625" style="158"/>
    <col min="15873" max="15873" width="5.42578125" style="158" customWidth="1"/>
    <col min="15874" max="15874" width="26.42578125" style="158" customWidth="1"/>
    <col min="15875" max="15875" width="7.42578125" style="158" customWidth="1"/>
    <col min="15876" max="15876" width="22.85546875" style="158" customWidth="1"/>
    <col min="15877" max="15877" width="12.5703125" style="158" customWidth="1"/>
    <col min="15878" max="15878" width="5.7109375" style="158" customWidth="1"/>
    <col min="15879" max="15879" width="14.42578125" style="158" customWidth="1"/>
    <col min="15880" max="15898" width="0" style="158" hidden="1" customWidth="1"/>
    <col min="15899" max="16128" width="9.140625" style="158"/>
    <col min="16129" max="16129" width="5.42578125" style="158" customWidth="1"/>
    <col min="16130" max="16130" width="26.42578125" style="158" customWidth="1"/>
    <col min="16131" max="16131" width="7.42578125" style="158" customWidth="1"/>
    <col min="16132" max="16132" width="22.85546875" style="158" customWidth="1"/>
    <col min="16133" max="16133" width="12.5703125" style="158" customWidth="1"/>
    <col min="16134" max="16134" width="5.7109375" style="158" customWidth="1"/>
    <col min="16135" max="16135" width="14.42578125" style="158" customWidth="1"/>
    <col min="16136" max="16154" width="0" style="158" hidden="1" customWidth="1"/>
    <col min="16155" max="16384" width="9.140625" style="158"/>
  </cols>
  <sheetData>
    <row r="1" spans="1:16" s="17" customFormat="1" ht="18.75" x14ac:dyDescent="0.3">
      <c r="A1" s="479" t="s">
        <v>432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146"/>
    </row>
    <row r="2" spans="1:16" s="17" customFormat="1" x14ac:dyDescent="0.25">
      <c r="A2" s="401" t="s">
        <v>63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146"/>
    </row>
    <row r="3" spans="1:16" s="17" customFormat="1" x14ac:dyDescent="0.25">
      <c r="A3" s="401" t="s">
        <v>433</v>
      </c>
      <c r="B3" s="401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146"/>
    </row>
    <row r="4" spans="1:16" s="17" customFormat="1" ht="9.75" customHeight="1" x14ac:dyDescent="0.25">
      <c r="A4" s="147"/>
      <c r="B4" s="147"/>
      <c r="C4" s="147"/>
      <c r="D4" s="147"/>
      <c r="E4" s="147"/>
      <c r="F4" s="147"/>
      <c r="G4" s="147"/>
    </row>
    <row r="5" spans="1:16" s="17" customFormat="1" ht="14.45" customHeight="1" x14ac:dyDescent="0.25">
      <c r="A5" s="458" t="s">
        <v>65</v>
      </c>
      <c r="B5" s="458"/>
      <c r="C5" s="459" t="s">
        <v>66</v>
      </c>
      <c r="D5" s="459"/>
      <c r="E5" s="459"/>
      <c r="F5" s="459"/>
      <c r="G5" s="459"/>
      <c r="H5" s="459"/>
      <c r="I5" s="459"/>
      <c r="J5" s="459"/>
      <c r="K5" s="459"/>
      <c r="L5" s="459"/>
      <c r="M5" s="459"/>
    </row>
    <row r="6" spans="1:16" s="17" customFormat="1" ht="14.45" customHeight="1" x14ac:dyDescent="0.25">
      <c r="A6" s="458"/>
      <c r="B6" s="458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</row>
    <row r="7" spans="1:16" s="17" customFormat="1" ht="14.45" customHeight="1" x14ac:dyDescent="0.25">
      <c r="A7" s="458"/>
      <c r="B7" s="458"/>
      <c r="C7" s="459"/>
      <c r="D7" s="459"/>
      <c r="E7" s="459"/>
      <c r="F7" s="459"/>
      <c r="G7" s="459"/>
      <c r="H7" s="459"/>
      <c r="I7" s="459"/>
      <c r="J7" s="459"/>
      <c r="K7" s="459"/>
      <c r="L7" s="459"/>
      <c r="M7" s="459"/>
    </row>
    <row r="8" spans="1:16" s="17" customFormat="1" ht="110.25" customHeight="1" x14ac:dyDescent="0.25">
      <c r="A8" s="458"/>
      <c r="B8" s="458"/>
      <c r="C8" s="459"/>
      <c r="D8" s="459"/>
      <c r="E8" s="459"/>
      <c r="F8" s="459"/>
      <c r="G8" s="459"/>
      <c r="H8" s="459"/>
      <c r="I8" s="459"/>
      <c r="J8" s="459"/>
      <c r="K8" s="459"/>
      <c r="L8" s="459"/>
      <c r="M8" s="459"/>
    </row>
    <row r="9" spans="1:16" s="17" customFormat="1" ht="14.45" customHeight="1" x14ac:dyDescent="0.25">
      <c r="A9" s="458" t="s">
        <v>67</v>
      </c>
      <c r="B9" s="458"/>
      <c r="C9" s="588" t="s">
        <v>68</v>
      </c>
      <c r="D9" s="588"/>
      <c r="E9" s="588"/>
      <c r="F9" s="588"/>
      <c r="G9" s="588"/>
      <c r="H9" s="588"/>
      <c r="I9" s="588"/>
      <c r="J9" s="588"/>
      <c r="K9" s="588"/>
      <c r="L9" s="588"/>
      <c r="M9" s="588"/>
    </row>
    <row r="10" spans="1:16" s="17" customFormat="1" ht="14.45" customHeight="1" x14ac:dyDescent="0.25">
      <c r="A10" s="458"/>
      <c r="B10" s="458"/>
      <c r="C10" s="588"/>
      <c r="D10" s="588"/>
      <c r="E10" s="588"/>
      <c r="F10" s="588"/>
      <c r="G10" s="588"/>
      <c r="H10" s="588"/>
      <c r="I10" s="588"/>
      <c r="J10" s="588"/>
      <c r="K10" s="588"/>
      <c r="L10" s="588"/>
      <c r="M10" s="588"/>
    </row>
    <row r="11" spans="1:16" s="17" customFormat="1" ht="14.45" customHeight="1" x14ac:dyDescent="0.25">
      <c r="A11" s="458" t="s">
        <v>69</v>
      </c>
      <c r="B11" s="458"/>
      <c r="C11" s="459" t="s">
        <v>70</v>
      </c>
      <c r="D11" s="459"/>
      <c r="E11" s="459"/>
      <c r="F11" s="459"/>
      <c r="G11" s="459"/>
      <c r="H11" s="459"/>
      <c r="I11" s="459"/>
      <c r="J11" s="459"/>
      <c r="K11" s="459"/>
      <c r="L11" s="459"/>
      <c r="M11" s="459"/>
    </row>
    <row r="12" spans="1:16" s="17" customFormat="1" ht="21.75" customHeight="1" thickBot="1" x14ac:dyDescent="0.3">
      <c r="A12" s="559"/>
      <c r="B12" s="559"/>
      <c r="C12" s="460"/>
      <c r="D12" s="460"/>
      <c r="E12" s="460"/>
      <c r="F12" s="460"/>
      <c r="G12" s="460"/>
      <c r="H12" s="460"/>
      <c r="I12" s="460"/>
      <c r="J12" s="460"/>
      <c r="K12" s="460"/>
      <c r="L12" s="460"/>
      <c r="M12" s="460"/>
    </row>
    <row r="13" spans="1:16" s="303" customFormat="1" ht="59.45" customHeight="1" x14ac:dyDescent="0.2">
      <c r="A13" s="300" t="s">
        <v>27</v>
      </c>
      <c r="B13" s="300" t="s">
        <v>28</v>
      </c>
      <c r="C13" s="300" t="s">
        <v>29</v>
      </c>
      <c r="D13" s="300" t="s">
        <v>30</v>
      </c>
      <c r="E13" s="300" t="s">
        <v>227</v>
      </c>
      <c r="F13" s="300" t="s">
        <v>31</v>
      </c>
      <c r="G13" s="300" t="s">
        <v>32</v>
      </c>
      <c r="H13" s="301"/>
      <c r="I13" s="302"/>
      <c r="J13" s="302"/>
      <c r="P13" s="302"/>
    </row>
    <row r="14" spans="1:16" s="303" customFormat="1" x14ac:dyDescent="0.2">
      <c r="A14" s="152" t="s">
        <v>228</v>
      </c>
      <c r="B14" s="152" t="s">
        <v>229</v>
      </c>
      <c r="C14" s="153" t="s">
        <v>230</v>
      </c>
      <c r="D14" s="152" t="s">
        <v>231</v>
      </c>
      <c r="E14" s="154" t="s">
        <v>232</v>
      </c>
      <c r="F14" s="153" t="s">
        <v>233</v>
      </c>
      <c r="G14" s="155" t="s">
        <v>234</v>
      </c>
      <c r="H14" s="304"/>
      <c r="I14" s="302"/>
      <c r="J14" s="302"/>
      <c r="P14" s="302"/>
    </row>
    <row r="15" spans="1:16" s="303" customFormat="1" ht="33" customHeight="1" x14ac:dyDescent="0.2">
      <c r="A15" s="159"/>
      <c r="B15" s="554" t="s">
        <v>33</v>
      </c>
      <c r="C15" s="554"/>
      <c r="D15" s="554"/>
      <c r="E15" s="554"/>
      <c r="F15" s="554"/>
      <c r="G15" s="554"/>
      <c r="H15" s="301"/>
      <c r="I15" s="302"/>
      <c r="J15" s="302"/>
      <c r="P15" s="302"/>
    </row>
    <row r="16" spans="1:16" s="303" customFormat="1" ht="21" customHeight="1" x14ac:dyDescent="0.2">
      <c r="A16" s="159"/>
      <c r="B16" s="554" t="s">
        <v>235</v>
      </c>
      <c r="C16" s="554"/>
      <c r="D16" s="554"/>
      <c r="E16" s="554"/>
      <c r="F16" s="554"/>
      <c r="G16" s="554"/>
      <c r="H16" s="301"/>
      <c r="I16" s="302"/>
      <c r="J16" s="302"/>
      <c r="P16" s="302"/>
    </row>
    <row r="17" spans="1:16" s="303" customFormat="1" ht="45.75" customHeight="1" x14ac:dyDescent="0.2">
      <c r="A17" s="159"/>
      <c r="B17" s="554" t="s">
        <v>236</v>
      </c>
      <c r="C17" s="554"/>
      <c r="D17" s="554"/>
      <c r="E17" s="554"/>
      <c r="F17" s="554"/>
      <c r="G17" s="554"/>
      <c r="H17" s="301"/>
      <c r="I17" s="302"/>
      <c r="J17" s="302"/>
      <c r="P17" s="302"/>
    </row>
    <row r="18" spans="1:16" s="303" customFormat="1" ht="30.75" customHeight="1" x14ac:dyDescent="0.2">
      <c r="A18" s="159"/>
      <c r="B18" s="554" t="s">
        <v>237</v>
      </c>
      <c r="C18" s="554"/>
      <c r="D18" s="554"/>
      <c r="E18" s="554"/>
      <c r="F18" s="554"/>
      <c r="G18" s="554"/>
      <c r="H18" s="301"/>
      <c r="I18" s="302"/>
      <c r="J18" s="302"/>
      <c r="P18" s="302"/>
    </row>
    <row r="19" spans="1:16" s="303" customFormat="1" x14ac:dyDescent="0.2">
      <c r="A19" s="153"/>
      <c r="B19" s="549" t="s">
        <v>434</v>
      </c>
      <c r="C19" s="550"/>
      <c r="D19" s="550"/>
      <c r="E19" s="550"/>
      <c r="F19" s="550"/>
      <c r="G19" s="551"/>
      <c r="H19" s="301"/>
      <c r="I19" s="302"/>
      <c r="J19" s="302"/>
      <c r="P19" s="302"/>
    </row>
    <row r="20" spans="1:16" s="303" customFormat="1" ht="60" x14ac:dyDescent="0.2">
      <c r="A20" s="153">
        <f>MAX(A$5:A19)+1</f>
        <v>1</v>
      </c>
      <c r="B20" s="305" t="s">
        <v>435</v>
      </c>
      <c r="C20" s="305" t="s">
        <v>35</v>
      </c>
      <c r="D20" s="167" t="s">
        <v>436</v>
      </c>
      <c r="E20" s="154">
        <f>540*4*1.29</f>
        <v>2786.4</v>
      </c>
      <c r="F20" s="153">
        <v>3</v>
      </c>
      <c r="G20" s="170">
        <f>E20*F20</f>
        <v>8359.2000000000007</v>
      </c>
      <c r="H20" s="301"/>
      <c r="I20" s="302"/>
      <c r="J20" s="302"/>
      <c r="P20" s="302"/>
    </row>
    <row r="21" spans="1:16" s="303" customFormat="1" ht="45" x14ac:dyDescent="0.2">
      <c r="A21" s="153">
        <f>MAX(A$5:A20)+1</f>
        <v>2</v>
      </c>
      <c r="B21" s="305" t="s">
        <v>437</v>
      </c>
      <c r="C21" s="305" t="s">
        <v>438</v>
      </c>
      <c r="D21" s="305" t="s">
        <v>439</v>
      </c>
      <c r="E21" s="153">
        <f>620*4*3</f>
        <v>7440</v>
      </c>
      <c r="F21" s="153">
        <v>30</v>
      </c>
      <c r="G21" s="170">
        <f>E21*F21</f>
        <v>223200</v>
      </c>
      <c r="H21" s="301"/>
      <c r="I21" s="302"/>
      <c r="J21" s="302"/>
      <c r="P21" s="302"/>
    </row>
    <row r="22" spans="1:16" s="303" customFormat="1" ht="47.25" customHeight="1" x14ac:dyDescent="0.2">
      <c r="A22" s="153">
        <f>MAX(A$5:A21)+1</f>
        <v>3</v>
      </c>
      <c r="B22" s="305" t="s">
        <v>440</v>
      </c>
      <c r="C22" s="305" t="s">
        <v>441</v>
      </c>
      <c r="D22" s="167" t="s">
        <v>442</v>
      </c>
      <c r="E22" s="153">
        <f>540*4*46.15</f>
        <v>99684</v>
      </c>
      <c r="F22" s="153">
        <v>2.5</v>
      </c>
      <c r="G22" s="170">
        <f>E22*F22</f>
        <v>249210</v>
      </c>
      <c r="H22" s="301"/>
      <c r="I22" s="302"/>
      <c r="J22" s="302"/>
      <c r="P22" s="302"/>
    </row>
    <row r="23" spans="1:16" s="303" customFormat="1" x14ac:dyDescent="0.2">
      <c r="A23" s="153">
        <f>MAX(A$5:A22)+1</f>
        <v>4</v>
      </c>
      <c r="B23" s="306" t="s">
        <v>443</v>
      </c>
      <c r="C23" s="305"/>
      <c r="D23" s="305"/>
      <c r="E23" s="305"/>
      <c r="F23" s="305"/>
      <c r="G23" s="177">
        <f>SUM(G20:G22)</f>
        <v>480769.2</v>
      </c>
      <c r="H23" s="301"/>
      <c r="I23" s="302"/>
      <c r="J23" s="302"/>
      <c r="P23" s="302"/>
    </row>
    <row r="24" spans="1:16" s="303" customFormat="1" x14ac:dyDescent="0.2">
      <c r="A24" s="307">
        <f>MAX(A$5:A23)+1</f>
        <v>5</v>
      </c>
      <c r="B24" s="308" t="s">
        <v>60</v>
      </c>
      <c r="C24" s="309"/>
      <c r="D24" s="310"/>
      <c r="E24" s="311"/>
      <c r="F24" s="312"/>
      <c r="G24" s="313">
        <f>G23</f>
        <v>480769.2</v>
      </c>
      <c r="H24" s="301"/>
      <c r="I24" s="302"/>
      <c r="J24" s="302"/>
      <c r="P24" s="302"/>
    </row>
    <row r="25" spans="1:16" s="17" customFormat="1" x14ac:dyDescent="0.25">
      <c r="A25" s="208"/>
      <c r="B25" s="530"/>
      <c r="C25" s="530"/>
      <c r="D25" s="530"/>
      <c r="E25" s="413"/>
      <c r="F25" s="413"/>
      <c r="G25" s="413"/>
      <c r="H25" s="413"/>
      <c r="I25" s="413"/>
      <c r="J25" s="103"/>
      <c r="K25" s="103"/>
      <c r="L25" s="103"/>
      <c r="M25" s="41"/>
    </row>
    <row r="26" spans="1:16" s="17" customFormat="1" ht="10.9" customHeight="1" x14ac:dyDescent="0.25">
      <c r="A26" s="208"/>
      <c r="B26" s="530"/>
      <c r="C26" s="530"/>
      <c r="D26" s="530"/>
      <c r="E26" s="586"/>
      <c r="F26" s="586"/>
      <c r="G26" s="586"/>
      <c r="H26" s="587"/>
      <c r="I26" s="587"/>
      <c r="J26" s="587"/>
      <c r="K26" s="586"/>
      <c r="L26" s="586"/>
    </row>
  </sheetData>
  <mergeCells count="19">
    <mergeCell ref="B18:G18"/>
    <mergeCell ref="A1:M1"/>
    <mergeCell ref="A2:M2"/>
    <mergeCell ref="A3:M3"/>
    <mergeCell ref="A5:B8"/>
    <mergeCell ref="C5:M8"/>
    <mergeCell ref="A9:B10"/>
    <mergeCell ref="C9:M10"/>
    <mergeCell ref="A11:B12"/>
    <mergeCell ref="C11:M12"/>
    <mergeCell ref="B15:G15"/>
    <mergeCell ref="B16:G16"/>
    <mergeCell ref="B17:G17"/>
    <mergeCell ref="B26:D26"/>
    <mergeCell ref="E26:L26"/>
    <mergeCell ref="B19:G19"/>
    <mergeCell ref="B25:D25"/>
    <mergeCell ref="E25:G25"/>
    <mergeCell ref="H25:I25"/>
  </mergeCells>
  <pageMargins left="0.39370078740157483" right="0.39370078740157483" top="0.42" bottom="0.39370078740157483" header="0" footer="0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0F45E-086A-4796-A820-7B0FC9DFF909}">
  <dimension ref="A1:IV30"/>
  <sheetViews>
    <sheetView topLeftCell="A10" workbookViewId="0">
      <selection activeCell="H15" sqref="H15"/>
    </sheetView>
  </sheetViews>
  <sheetFormatPr defaultColWidth="5.42578125" defaultRowHeight="15.75" x14ac:dyDescent="0.25"/>
  <cols>
    <col min="1" max="1" width="5.42578125" style="334"/>
    <col min="2" max="2" width="37" style="335" customWidth="1"/>
    <col min="3" max="3" width="10.28515625" style="335" customWidth="1"/>
    <col min="4" max="4" width="35" style="336" customWidth="1"/>
    <col min="5" max="5" width="13.7109375" style="337" customWidth="1"/>
    <col min="6" max="6" width="8.5703125" style="335" customWidth="1"/>
    <col min="7" max="7" width="16.85546875" style="337" customWidth="1"/>
    <col min="8" max="8" width="45.140625" style="338" customWidth="1"/>
    <col min="9" max="9" width="9.140625" style="338" customWidth="1"/>
    <col min="10" max="10" width="14.28515625" style="338" bestFit="1" customWidth="1"/>
    <col min="11" max="11" width="12" style="338" bestFit="1" customWidth="1"/>
    <col min="12" max="255" width="9.140625" style="338" customWidth="1"/>
    <col min="256" max="257" width="5.42578125" style="338"/>
    <col min="258" max="258" width="37" style="338" customWidth="1"/>
    <col min="259" max="259" width="10.28515625" style="338" customWidth="1"/>
    <col min="260" max="260" width="35" style="338" customWidth="1"/>
    <col min="261" max="261" width="13.7109375" style="338" customWidth="1"/>
    <col min="262" max="262" width="8.5703125" style="338" customWidth="1"/>
    <col min="263" max="263" width="16.85546875" style="338" customWidth="1"/>
    <col min="264" max="264" width="45.140625" style="338" customWidth="1"/>
    <col min="265" max="265" width="9.140625" style="338" customWidth="1"/>
    <col min="266" max="266" width="14.28515625" style="338" bestFit="1" customWidth="1"/>
    <col min="267" max="267" width="12" style="338" bestFit="1" customWidth="1"/>
    <col min="268" max="511" width="9.140625" style="338" customWidth="1"/>
    <col min="512" max="513" width="5.42578125" style="338"/>
    <col min="514" max="514" width="37" style="338" customWidth="1"/>
    <col min="515" max="515" width="10.28515625" style="338" customWidth="1"/>
    <col min="516" max="516" width="35" style="338" customWidth="1"/>
    <col min="517" max="517" width="13.7109375" style="338" customWidth="1"/>
    <col min="518" max="518" width="8.5703125" style="338" customWidth="1"/>
    <col min="519" max="519" width="16.85546875" style="338" customWidth="1"/>
    <col min="520" max="520" width="45.140625" style="338" customWidth="1"/>
    <col min="521" max="521" width="9.140625" style="338" customWidth="1"/>
    <col min="522" max="522" width="14.28515625" style="338" bestFit="1" customWidth="1"/>
    <col min="523" max="523" width="12" style="338" bestFit="1" customWidth="1"/>
    <col min="524" max="767" width="9.140625" style="338" customWidth="1"/>
    <col min="768" max="769" width="5.42578125" style="338"/>
    <col min="770" max="770" width="37" style="338" customWidth="1"/>
    <col min="771" max="771" width="10.28515625" style="338" customWidth="1"/>
    <col min="772" max="772" width="35" style="338" customWidth="1"/>
    <col min="773" max="773" width="13.7109375" style="338" customWidth="1"/>
    <col min="774" max="774" width="8.5703125" style="338" customWidth="1"/>
    <col min="775" max="775" width="16.85546875" style="338" customWidth="1"/>
    <col min="776" max="776" width="45.140625" style="338" customWidth="1"/>
    <col min="777" max="777" width="9.140625" style="338" customWidth="1"/>
    <col min="778" max="778" width="14.28515625" style="338" bestFit="1" customWidth="1"/>
    <col min="779" max="779" width="12" style="338" bestFit="1" customWidth="1"/>
    <col min="780" max="1023" width="9.140625" style="338" customWidth="1"/>
    <col min="1024" max="1025" width="5.42578125" style="338"/>
    <col min="1026" max="1026" width="37" style="338" customWidth="1"/>
    <col min="1027" max="1027" width="10.28515625" style="338" customWidth="1"/>
    <col min="1028" max="1028" width="35" style="338" customWidth="1"/>
    <col min="1029" max="1029" width="13.7109375" style="338" customWidth="1"/>
    <col min="1030" max="1030" width="8.5703125" style="338" customWidth="1"/>
    <col min="1031" max="1031" width="16.85546875" style="338" customWidth="1"/>
    <col min="1032" max="1032" width="45.140625" style="338" customWidth="1"/>
    <col min="1033" max="1033" width="9.140625" style="338" customWidth="1"/>
    <col min="1034" max="1034" width="14.28515625" style="338" bestFit="1" customWidth="1"/>
    <col min="1035" max="1035" width="12" style="338" bestFit="1" customWidth="1"/>
    <col min="1036" max="1279" width="9.140625" style="338" customWidth="1"/>
    <col min="1280" max="1281" width="5.42578125" style="338"/>
    <col min="1282" max="1282" width="37" style="338" customWidth="1"/>
    <col min="1283" max="1283" width="10.28515625" style="338" customWidth="1"/>
    <col min="1284" max="1284" width="35" style="338" customWidth="1"/>
    <col min="1285" max="1285" width="13.7109375" style="338" customWidth="1"/>
    <col min="1286" max="1286" width="8.5703125" style="338" customWidth="1"/>
    <col min="1287" max="1287" width="16.85546875" style="338" customWidth="1"/>
    <col min="1288" max="1288" width="45.140625" style="338" customWidth="1"/>
    <col min="1289" max="1289" width="9.140625" style="338" customWidth="1"/>
    <col min="1290" max="1290" width="14.28515625" style="338" bestFit="1" customWidth="1"/>
    <col min="1291" max="1291" width="12" style="338" bestFit="1" customWidth="1"/>
    <col min="1292" max="1535" width="9.140625" style="338" customWidth="1"/>
    <col min="1536" max="1537" width="5.42578125" style="338"/>
    <col min="1538" max="1538" width="37" style="338" customWidth="1"/>
    <col min="1539" max="1539" width="10.28515625" style="338" customWidth="1"/>
    <col min="1540" max="1540" width="35" style="338" customWidth="1"/>
    <col min="1541" max="1541" width="13.7109375" style="338" customWidth="1"/>
    <col min="1542" max="1542" width="8.5703125" style="338" customWidth="1"/>
    <col min="1543" max="1543" width="16.85546875" style="338" customWidth="1"/>
    <col min="1544" max="1544" width="45.140625" style="338" customWidth="1"/>
    <col min="1545" max="1545" width="9.140625" style="338" customWidth="1"/>
    <col min="1546" max="1546" width="14.28515625" style="338" bestFit="1" customWidth="1"/>
    <col min="1547" max="1547" width="12" style="338" bestFit="1" customWidth="1"/>
    <col min="1548" max="1791" width="9.140625" style="338" customWidth="1"/>
    <col min="1792" max="1793" width="5.42578125" style="338"/>
    <col min="1794" max="1794" width="37" style="338" customWidth="1"/>
    <col min="1795" max="1795" width="10.28515625" style="338" customWidth="1"/>
    <col min="1796" max="1796" width="35" style="338" customWidth="1"/>
    <col min="1797" max="1797" width="13.7109375" style="338" customWidth="1"/>
    <col min="1798" max="1798" width="8.5703125" style="338" customWidth="1"/>
    <col min="1799" max="1799" width="16.85546875" style="338" customWidth="1"/>
    <col min="1800" max="1800" width="45.140625" style="338" customWidth="1"/>
    <col min="1801" max="1801" width="9.140625" style="338" customWidth="1"/>
    <col min="1802" max="1802" width="14.28515625" style="338" bestFit="1" customWidth="1"/>
    <col min="1803" max="1803" width="12" style="338" bestFit="1" customWidth="1"/>
    <col min="1804" max="2047" width="9.140625" style="338" customWidth="1"/>
    <col min="2048" max="2049" width="5.42578125" style="338"/>
    <col min="2050" max="2050" width="37" style="338" customWidth="1"/>
    <col min="2051" max="2051" width="10.28515625" style="338" customWidth="1"/>
    <col min="2052" max="2052" width="35" style="338" customWidth="1"/>
    <col min="2053" max="2053" width="13.7109375" style="338" customWidth="1"/>
    <col min="2054" max="2054" width="8.5703125" style="338" customWidth="1"/>
    <col min="2055" max="2055" width="16.85546875" style="338" customWidth="1"/>
    <col min="2056" max="2056" width="45.140625" style="338" customWidth="1"/>
    <col min="2057" max="2057" width="9.140625" style="338" customWidth="1"/>
    <col min="2058" max="2058" width="14.28515625" style="338" bestFit="1" customWidth="1"/>
    <col min="2059" max="2059" width="12" style="338" bestFit="1" customWidth="1"/>
    <col min="2060" max="2303" width="9.140625" style="338" customWidth="1"/>
    <col min="2304" max="2305" width="5.42578125" style="338"/>
    <col min="2306" max="2306" width="37" style="338" customWidth="1"/>
    <col min="2307" max="2307" width="10.28515625" style="338" customWidth="1"/>
    <col min="2308" max="2308" width="35" style="338" customWidth="1"/>
    <col min="2309" max="2309" width="13.7109375" style="338" customWidth="1"/>
    <col min="2310" max="2310" width="8.5703125" style="338" customWidth="1"/>
    <col min="2311" max="2311" width="16.85546875" style="338" customWidth="1"/>
    <col min="2312" max="2312" width="45.140625" style="338" customWidth="1"/>
    <col min="2313" max="2313" width="9.140625" style="338" customWidth="1"/>
    <col min="2314" max="2314" width="14.28515625" style="338" bestFit="1" customWidth="1"/>
    <col min="2315" max="2315" width="12" style="338" bestFit="1" customWidth="1"/>
    <col min="2316" max="2559" width="9.140625" style="338" customWidth="1"/>
    <col min="2560" max="2561" width="5.42578125" style="338"/>
    <col min="2562" max="2562" width="37" style="338" customWidth="1"/>
    <col min="2563" max="2563" width="10.28515625" style="338" customWidth="1"/>
    <col min="2564" max="2564" width="35" style="338" customWidth="1"/>
    <col min="2565" max="2565" width="13.7109375" style="338" customWidth="1"/>
    <col min="2566" max="2566" width="8.5703125" style="338" customWidth="1"/>
    <col min="2567" max="2567" width="16.85546875" style="338" customWidth="1"/>
    <col min="2568" max="2568" width="45.140625" style="338" customWidth="1"/>
    <col min="2569" max="2569" width="9.140625" style="338" customWidth="1"/>
    <col min="2570" max="2570" width="14.28515625" style="338" bestFit="1" customWidth="1"/>
    <col min="2571" max="2571" width="12" style="338" bestFit="1" customWidth="1"/>
    <col min="2572" max="2815" width="9.140625" style="338" customWidth="1"/>
    <col min="2816" max="2817" width="5.42578125" style="338"/>
    <col min="2818" max="2818" width="37" style="338" customWidth="1"/>
    <col min="2819" max="2819" width="10.28515625" style="338" customWidth="1"/>
    <col min="2820" max="2820" width="35" style="338" customWidth="1"/>
    <col min="2821" max="2821" width="13.7109375" style="338" customWidth="1"/>
    <col min="2822" max="2822" width="8.5703125" style="338" customWidth="1"/>
    <col min="2823" max="2823" width="16.85546875" style="338" customWidth="1"/>
    <col min="2824" max="2824" width="45.140625" style="338" customWidth="1"/>
    <col min="2825" max="2825" width="9.140625" style="338" customWidth="1"/>
    <col min="2826" max="2826" width="14.28515625" style="338" bestFit="1" customWidth="1"/>
    <col min="2827" max="2827" width="12" style="338" bestFit="1" customWidth="1"/>
    <col min="2828" max="3071" width="9.140625" style="338" customWidth="1"/>
    <col min="3072" max="3073" width="5.42578125" style="338"/>
    <col min="3074" max="3074" width="37" style="338" customWidth="1"/>
    <col min="3075" max="3075" width="10.28515625" style="338" customWidth="1"/>
    <col min="3076" max="3076" width="35" style="338" customWidth="1"/>
    <col min="3077" max="3077" width="13.7109375" style="338" customWidth="1"/>
    <col min="3078" max="3078" width="8.5703125" style="338" customWidth="1"/>
    <col min="3079" max="3079" width="16.85546875" style="338" customWidth="1"/>
    <col min="3080" max="3080" width="45.140625" style="338" customWidth="1"/>
    <col min="3081" max="3081" width="9.140625" style="338" customWidth="1"/>
    <col min="3082" max="3082" width="14.28515625" style="338" bestFit="1" customWidth="1"/>
    <col min="3083" max="3083" width="12" style="338" bestFit="1" customWidth="1"/>
    <col min="3084" max="3327" width="9.140625" style="338" customWidth="1"/>
    <col min="3328" max="3329" width="5.42578125" style="338"/>
    <col min="3330" max="3330" width="37" style="338" customWidth="1"/>
    <col min="3331" max="3331" width="10.28515625" style="338" customWidth="1"/>
    <col min="3332" max="3332" width="35" style="338" customWidth="1"/>
    <col min="3333" max="3333" width="13.7109375" style="338" customWidth="1"/>
    <col min="3334" max="3334" width="8.5703125" style="338" customWidth="1"/>
    <col min="3335" max="3335" width="16.85546875" style="338" customWidth="1"/>
    <col min="3336" max="3336" width="45.140625" style="338" customWidth="1"/>
    <col min="3337" max="3337" width="9.140625" style="338" customWidth="1"/>
    <col min="3338" max="3338" width="14.28515625" style="338" bestFit="1" customWidth="1"/>
    <col min="3339" max="3339" width="12" style="338" bestFit="1" customWidth="1"/>
    <col min="3340" max="3583" width="9.140625" style="338" customWidth="1"/>
    <col min="3584" max="3585" width="5.42578125" style="338"/>
    <col min="3586" max="3586" width="37" style="338" customWidth="1"/>
    <col min="3587" max="3587" width="10.28515625" style="338" customWidth="1"/>
    <col min="3588" max="3588" width="35" style="338" customWidth="1"/>
    <col min="3589" max="3589" width="13.7109375" style="338" customWidth="1"/>
    <col min="3590" max="3590" width="8.5703125" style="338" customWidth="1"/>
    <col min="3591" max="3591" width="16.85546875" style="338" customWidth="1"/>
    <col min="3592" max="3592" width="45.140625" style="338" customWidth="1"/>
    <col min="3593" max="3593" width="9.140625" style="338" customWidth="1"/>
    <col min="3594" max="3594" width="14.28515625" style="338" bestFit="1" customWidth="1"/>
    <col min="3595" max="3595" width="12" style="338" bestFit="1" customWidth="1"/>
    <col min="3596" max="3839" width="9.140625" style="338" customWidth="1"/>
    <col min="3840" max="3841" width="5.42578125" style="338"/>
    <col min="3842" max="3842" width="37" style="338" customWidth="1"/>
    <col min="3843" max="3843" width="10.28515625" style="338" customWidth="1"/>
    <col min="3844" max="3844" width="35" style="338" customWidth="1"/>
    <col min="3845" max="3845" width="13.7109375" style="338" customWidth="1"/>
    <col min="3846" max="3846" width="8.5703125" style="338" customWidth="1"/>
    <col min="3847" max="3847" width="16.85546875" style="338" customWidth="1"/>
    <col min="3848" max="3848" width="45.140625" style="338" customWidth="1"/>
    <col min="3849" max="3849" width="9.140625" style="338" customWidth="1"/>
    <col min="3850" max="3850" width="14.28515625" style="338" bestFit="1" customWidth="1"/>
    <col min="3851" max="3851" width="12" style="338" bestFit="1" customWidth="1"/>
    <col min="3852" max="4095" width="9.140625" style="338" customWidth="1"/>
    <col min="4096" max="4097" width="5.42578125" style="338"/>
    <col min="4098" max="4098" width="37" style="338" customWidth="1"/>
    <col min="4099" max="4099" width="10.28515625" style="338" customWidth="1"/>
    <col min="4100" max="4100" width="35" style="338" customWidth="1"/>
    <col min="4101" max="4101" width="13.7109375" style="338" customWidth="1"/>
    <col min="4102" max="4102" width="8.5703125" style="338" customWidth="1"/>
    <col min="4103" max="4103" width="16.85546875" style="338" customWidth="1"/>
    <col min="4104" max="4104" width="45.140625" style="338" customWidth="1"/>
    <col min="4105" max="4105" width="9.140625" style="338" customWidth="1"/>
    <col min="4106" max="4106" width="14.28515625" style="338" bestFit="1" customWidth="1"/>
    <col min="4107" max="4107" width="12" style="338" bestFit="1" customWidth="1"/>
    <col min="4108" max="4351" width="9.140625" style="338" customWidth="1"/>
    <col min="4352" max="4353" width="5.42578125" style="338"/>
    <col min="4354" max="4354" width="37" style="338" customWidth="1"/>
    <col min="4355" max="4355" width="10.28515625" style="338" customWidth="1"/>
    <col min="4356" max="4356" width="35" style="338" customWidth="1"/>
    <col min="4357" max="4357" width="13.7109375" style="338" customWidth="1"/>
    <col min="4358" max="4358" width="8.5703125" style="338" customWidth="1"/>
    <col min="4359" max="4359" width="16.85546875" style="338" customWidth="1"/>
    <col min="4360" max="4360" width="45.140625" style="338" customWidth="1"/>
    <col min="4361" max="4361" width="9.140625" style="338" customWidth="1"/>
    <col min="4362" max="4362" width="14.28515625" style="338" bestFit="1" customWidth="1"/>
    <col min="4363" max="4363" width="12" style="338" bestFit="1" customWidth="1"/>
    <col min="4364" max="4607" width="9.140625" style="338" customWidth="1"/>
    <col min="4608" max="4609" width="5.42578125" style="338"/>
    <col min="4610" max="4610" width="37" style="338" customWidth="1"/>
    <col min="4611" max="4611" width="10.28515625" style="338" customWidth="1"/>
    <col min="4612" max="4612" width="35" style="338" customWidth="1"/>
    <col min="4613" max="4613" width="13.7109375" style="338" customWidth="1"/>
    <col min="4614" max="4614" width="8.5703125" style="338" customWidth="1"/>
    <col min="4615" max="4615" width="16.85546875" style="338" customWidth="1"/>
    <col min="4616" max="4616" width="45.140625" style="338" customWidth="1"/>
    <col min="4617" max="4617" width="9.140625" style="338" customWidth="1"/>
    <col min="4618" max="4618" width="14.28515625" style="338" bestFit="1" customWidth="1"/>
    <col min="4619" max="4619" width="12" style="338" bestFit="1" customWidth="1"/>
    <col min="4620" max="4863" width="9.140625" style="338" customWidth="1"/>
    <col min="4864" max="4865" width="5.42578125" style="338"/>
    <col min="4866" max="4866" width="37" style="338" customWidth="1"/>
    <col min="4867" max="4867" width="10.28515625" style="338" customWidth="1"/>
    <col min="4868" max="4868" width="35" style="338" customWidth="1"/>
    <col min="4869" max="4869" width="13.7109375" style="338" customWidth="1"/>
    <col min="4870" max="4870" width="8.5703125" style="338" customWidth="1"/>
    <col min="4871" max="4871" width="16.85546875" style="338" customWidth="1"/>
    <col min="4872" max="4872" width="45.140625" style="338" customWidth="1"/>
    <col min="4873" max="4873" width="9.140625" style="338" customWidth="1"/>
    <col min="4874" max="4874" width="14.28515625" style="338" bestFit="1" customWidth="1"/>
    <col min="4875" max="4875" width="12" style="338" bestFit="1" customWidth="1"/>
    <col min="4876" max="5119" width="9.140625" style="338" customWidth="1"/>
    <col min="5120" max="5121" width="5.42578125" style="338"/>
    <col min="5122" max="5122" width="37" style="338" customWidth="1"/>
    <col min="5123" max="5123" width="10.28515625" style="338" customWidth="1"/>
    <col min="5124" max="5124" width="35" style="338" customWidth="1"/>
    <col min="5125" max="5125" width="13.7109375" style="338" customWidth="1"/>
    <col min="5126" max="5126" width="8.5703125" style="338" customWidth="1"/>
    <col min="5127" max="5127" width="16.85546875" style="338" customWidth="1"/>
    <col min="5128" max="5128" width="45.140625" style="338" customWidth="1"/>
    <col min="5129" max="5129" width="9.140625" style="338" customWidth="1"/>
    <col min="5130" max="5130" width="14.28515625" style="338" bestFit="1" customWidth="1"/>
    <col min="5131" max="5131" width="12" style="338" bestFit="1" customWidth="1"/>
    <col min="5132" max="5375" width="9.140625" style="338" customWidth="1"/>
    <col min="5376" max="5377" width="5.42578125" style="338"/>
    <col min="5378" max="5378" width="37" style="338" customWidth="1"/>
    <col min="5379" max="5379" width="10.28515625" style="338" customWidth="1"/>
    <col min="5380" max="5380" width="35" style="338" customWidth="1"/>
    <col min="5381" max="5381" width="13.7109375" style="338" customWidth="1"/>
    <col min="5382" max="5382" width="8.5703125" style="338" customWidth="1"/>
    <col min="5383" max="5383" width="16.85546875" style="338" customWidth="1"/>
    <col min="5384" max="5384" width="45.140625" style="338" customWidth="1"/>
    <col min="5385" max="5385" width="9.140625" style="338" customWidth="1"/>
    <col min="5386" max="5386" width="14.28515625" style="338" bestFit="1" customWidth="1"/>
    <col min="5387" max="5387" width="12" style="338" bestFit="1" customWidth="1"/>
    <col min="5388" max="5631" width="9.140625" style="338" customWidth="1"/>
    <col min="5632" max="5633" width="5.42578125" style="338"/>
    <col min="5634" max="5634" width="37" style="338" customWidth="1"/>
    <col min="5635" max="5635" width="10.28515625" style="338" customWidth="1"/>
    <col min="5636" max="5636" width="35" style="338" customWidth="1"/>
    <col min="5637" max="5637" width="13.7109375" style="338" customWidth="1"/>
    <col min="5638" max="5638" width="8.5703125" style="338" customWidth="1"/>
    <col min="5639" max="5639" width="16.85546875" style="338" customWidth="1"/>
    <col min="5640" max="5640" width="45.140625" style="338" customWidth="1"/>
    <col min="5641" max="5641" width="9.140625" style="338" customWidth="1"/>
    <col min="5642" max="5642" width="14.28515625" style="338" bestFit="1" customWidth="1"/>
    <col min="5643" max="5643" width="12" style="338" bestFit="1" customWidth="1"/>
    <col min="5644" max="5887" width="9.140625" style="338" customWidth="1"/>
    <col min="5888" max="5889" width="5.42578125" style="338"/>
    <col min="5890" max="5890" width="37" style="338" customWidth="1"/>
    <col min="5891" max="5891" width="10.28515625" style="338" customWidth="1"/>
    <col min="5892" max="5892" width="35" style="338" customWidth="1"/>
    <col min="5893" max="5893" width="13.7109375" style="338" customWidth="1"/>
    <col min="5894" max="5894" width="8.5703125" style="338" customWidth="1"/>
    <col min="5895" max="5895" width="16.85546875" style="338" customWidth="1"/>
    <col min="5896" max="5896" width="45.140625" style="338" customWidth="1"/>
    <col min="5897" max="5897" width="9.140625" style="338" customWidth="1"/>
    <col min="5898" max="5898" width="14.28515625" style="338" bestFit="1" customWidth="1"/>
    <col min="5899" max="5899" width="12" style="338" bestFit="1" customWidth="1"/>
    <col min="5900" max="6143" width="9.140625" style="338" customWidth="1"/>
    <col min="6144" max="6145" width="5.42578125" style="338"/>
    <col min="6146" max="6146" width="37" style="338" customWidth="1"/>
    <col min="6147" max="6147" width="10.28515625" style="338" customWidth="1"/>
    <col min="6148" max="6148" width="35" style="338" customWidth="1"/>
    <col min="6149" max="6149" width="13.7109375" style="338" customWidth="1"/>
    <col min="6150" max="6150" width="8.5703125" style="338" customWidth="1"/>
    <col min="6151" max="6151" width="16.85546875" style="338" customWidth="1"/>
    <col min="6152" max="6152" width="45.140625" style="338" customWidth="1"/>
    <col min="6153" max="6153" width="9.140625" style="338" customWidth="1"/>
    <col min="6154" max="6154" width="14.28515625" style="338" bestFit="1" customWidth="1"/>
    <col min="6155" max="6155" width="12" style="338" bestFit="1" customWidth="1"/>
    <col min="6156" max="6399" width="9.140625" style="338" customWidth="1"/>
    <col min="6400" max="6401" width="5.42578125" style="338"/>
    <col min="6402" max="6402" width="37" style="338" customWidth="1"/>
    <col min="6403" max="6403" width="10.28515625" style="338" customWidth="1"/>
    <col min="6404" max="6404" width="35" style="338" customWidth="1"/>
    <col min="6405" max="6405" width="13.7109375" style="338" customWidth="1"/>
    <col min="6406" max="6406" width="8.5703125" style="338" customWidth="1"/>
    <col min="6407" max="6407" width="16.85546875" style="338" customWidth="1"/>
    <col min="6408" max="6408" width="45.140625" style="338" customWidth="1"/>
    <col min="6409" max="6409" width="9.140625" style="338" customWidth="1"/>
    <col min="6410" max="6410" width="14.28515625" style="338" bestFit="1" customWidth="1"/>
    <col min="6411" max="6411" width="12" style="338" bestFit="1" customWidth="1"/>
    <col min="6412" max="6655" width="9.140625" style="338" customWidth="1"/>
    <col min="6656" max="6657" width="5.42578125" style="338"/>
    <col min="6658" max="6658" width="37" style="338" customWidth="1"/>
    <col min="6659" max="6659" width="10.28515625" style="338" customWidth="1"/>
    <col min="6660" max="6660" width="35" style="338" customWidth="1"/>
    <col min="6661" max="6661" width="13.7109375" style="338" customWidth="1"/>
    <col min="6662" max="6662" width="8.5703125" style="338" customWidth="1"/>
    <col min="6663" max="6663" width="16.85546875" style="338" customWidth="1"/>
    <col min="6664" max="6664" width="45.140625" style="338" customWidth="1"/>
    <col min="6665" max="6665" width="9.140625" style="338" customWidth="1"/>
    <col min="6666" max="6666" width="14.28515625" style="338" bestFit="1" customWidth="1"/>
    <col min="6667" max="6667" width="12" style="338" bestFit="1" customWidth="1"/>
    <col min="6668" max="6911" width="9.140625" style="338" customWidth="1"/>
    <col min="6912" max="6913" width="5.42578125" style="338"/>
    <col min="6914" max="6914" width="37" style="338" customWidth="1"/>
    <col min="6915" max="6915" width="10.28515625" style="338" customWidth="1"/>
    <col min="6916" max="6916" width="35" style="338" customWidth="1"/>
    <col min="6917" max="6917" width="13.7109375" style="338" customWidth="1"/>
    <col min="6918" max="6918" width="8.5703125" style="338" customWidth="1"/>
    <col min="6919" max="6919" width="16.85546875" style="338" customWidth="1"/>
    <col min="6920" max="6920" width="45.140625" style="338" customWidth="1"/>
    <col min="6921" max="6921" width="9.140625" style="338" customWidth="1"/>
    <col min="6922" max="6922" width="14.28515625" style="338" bestFit="1" customWidth="1"/>
    <col min="6923" max="6923" width="12" style="338" bestFit="1" customWidth="1"/>
    <col min="6924" max="7167" width="9.140625" style="338" customWidth="1"/>
    <col min="7168" max="7169" width="5.42578125" style="338"/>
    <col min="7170" max="7170" width="37" style="338" customWidth="1"/>
    <col min="7171" max="7171" width="10.28515625" style="338" customWidth="1"/>
    <col min="7172" max="7172" width="35" style="338" customWidth="1"/>
    <col min="7173" max="7173" width="13.7109375" style="338" customWidth="1"/>
    <col min="7174" max="7174" width="8.5703125" style="338" customWidth="1"/>
    <col min="7175" max="7175" width="16.85546875" style="338" customWidth="1"/>
    <col min="7176" max="7176" width="45.140625" style="338" customWidth="1"/>
    <col min="7177" max="7177" width="9.140625" style="338" customWidth="1"/>
    <col min="7178" max="7178" width="14.28515625" style="338" bestFit="1" customWidth="1"/>
    <col min="7179" max="7179" width="12" style="338" bestFit="1" customWidth="1"/>
    <col min="7180" max="7423" width="9.140625" style="338" customWidth="1"/>
    <col min="7424" max="7425" width="5.42578125" style="338"/>
    <col min="7426" max="7426" width="37" style="338" customWidth="1"/>
    <col min="7427" max="7427" width="10.28515625" style="338" customWidth="1"/>
    <col min="7428" max="7428" width="35" style="338" customWidth="1"/>
    <col min="7429" max="7429" width="13.7109375" style="338" customWidth="1"/>
    <col min="7430" max="7430" width="8.5703125" style="338" customWidth="1"/>
    <col min="7431" max="7431" width="16.85546875" style="338" customWidth="1"/>
    <col min="7432" max="7432" width="45.140625" style="338" customWidth="1"/>
    <col min="7433" max="7433" width="9.140625" style="338" customWidth="1"/>
    <col min="7434" max="7434" width="14.28515625" style="338" bestFit="1" customWidth="1"/>
    <col min="7435" max="7435" width="12" style="338" bestFit="1" customWidth="1"/>
    <col min="7436" max="7679" width="9.140625" style="338" customWidth="1"/>
    <col min="7680" max="7681" width="5.42578125" style="338"/>
    <col min="7682" max="7682" width="37" style="338" customWidth="1"/>
    <col min="7683" max="7683" width="10.28515625" style="338" customWidth="1"/>
    <col min="7684" max="7684" width="35" style="338" customWidth="1"/>
    <col min="7685" max="7685" width="13.7109375" style="338" customWidth="1"/>
    <col min="7686" max="7686" width="8.5703125" style="338" customWidth="1"/>
    <col min="7687" max="7687" width="16.85546875" style="338" customWidth="1"/>
    <col min="7688" max="7688" width="45.140625" style="338" customWidth="1"/>
    <col min="7689" max="7689" width="9.140625" style="338" customWidth="1"/>
    <col min="7690" max="7690" width="14.28515625" style="338" bestFit="1" customWidth="1"/>
    <col min="7691" max="7691" width="12" style="338" bestFit="1" customWidth="1"/>
    <col min="7692" max="7935" width="9.140625" style="338" customWidth="1"/>
    <col min="7936" max="7937" width="5.42578125" style="338"/>
    <col min="7938" max="7938" width="37" style="338" customWidth="1"/>
    <col min="7939" max="7939" width="10.28515625" style="338" customWidth="1"/>
    <col min="7940" max="7940" width="35" style="338" customWidth="1"/>
    <col min="7941" max="7941" width="13.7109375" style="338" customWidth="1"/>
    <col min="7942" max="7942" width="8.5703125" style="338" customWidth="1"/>
    <col min="7943" max="7943" width="16.85546875" style="338" customWidth="1"/>
    <col min="7944" max="7944" width="45.140625" style="338" customWidth="1"/>
    <col min="7945" max="7945" width="9.140625" style="338" customWidth="1"/>
    <col min="7946" max="7946" width="14.28515625" style="338" bestFit="1" customWidth="1"/>
    <col min="7947" max="7947" width="12" style="338" bestFit="1" customWidth="1"/>
    <col min="7948" max="8191" width="9.140625" style="338" customWidth="1"/>
    <col min="8192" max="8193" width="5.42578125" style="338"/>
    <col min="8194" max="8194" width="37" style="338" customWidth="1"/>
    <col min="8195" max="8195" width="10.28515625" style="338" customWidth="1"/>
    <col min="8196" max="8196" width="35" style="338" customWidth="1"/>
    <col min="8197" max="8197" width="13.7109375" style="338" customWidth="1"/>
    <col min="8198" max="8198" width="8.5703125" style="338" customWidth="1"/>
    <col min="8199" max="8199" width="16.85546875" style="338" customWidth="1"/>
    <col min="8200" max="8200" width="45.140625" style="338" customWidth="1"/>
    <col min="8201" max="8201" width="9.140625" style="338" customWidth="1"/>
    <col min="8202" max="8202" width="14.28515625" style="338" bestFit="1" customWidth="1"/>
    <col min="8203" max="8203" width="12" style="338" bestFit="1" customWidth="1"/>
    <col min="8204" max="8447" width="9.140625" style="338" customWidth="1"/>
    <col min="8448" max="8449" width="5.42578125" style="338"/>
    <col min="8450" max="8450" width="37" style="338" customWidth="1"/>
    <col min="8451" max="8451" width="10.28515625" style="338" customWidth="1"/>
    <col min="8452" max="8452" width="35" style="338" customWidth="1"/>
    <col min="8453" max="8453" width="13.7109375" style="338" customWidth="1"/>
    <col min="8454" max="8454" width="8.5703125" style="338" customWidth="1"/>
    <col min="8455" max="8455" width="16.85546875" style="338" customWidth="1"/>
    <col min="8456" max="8456" width="45.140625" style="338" customWidth="1"/>
    <col min="8457" max="8457" width="9.140625" style="338" customWidth="1"/>
    <col min="8458" max="8458" width="14.28515625" style="338" bestFit="1" customWidth="1"/>
    <col min="8459" max="8459" width="12" style="338" bestFit="1" customWidth="1"/>
    <col min="8460" max="8703" width="9.140625" style="338" customWidth="1"/>
    <col min="8704" max="8705" width="5.42578125" style="338"/>
    <col min="8706" max="8706" width="37" style="338" customWidth="1"/>
    <col min="8707" max="8707" width="10.28515625" style="338" customWidth="1"/>
    <col min="8708" max="8708" width="35" style="338" customWidth="1"/>
    <col min="8709" max="8709" width="13.7109375" style="338" customWidth="1"/>
    <col min="8710" max="8710" width="8.5703125" style="338" customWidth="1"/>
    <col min="8711" max="8711" width="16.85546875" style="338" customWidth="1"/>
    <col min="8712" max="8712" width="45.140625" style="338" customWidth="1"/>
    <col min="8713" max="8713" width="9.140625" style="338" customWidth="1"/>
    <col min="8714" max="8714" width="14.28515625" style="338" bestFit="1" customWidth="1"/>
    <col min="8715" max="8715" width="12" style="338" bestFit="1" customWidth="1"/>
    <col min="8716" max="8959" width="9.140625" style="338" customWidth="1"/>
    <col min="8960" max="8961" width="5.42578125" style="338"/>
    <col min="8962" max="8962" width="37" style="338" customWidth="1"/>
    <col min="8963" max="8963" width="10.28515625" style="338" customWidth="1"/>
    <col min="8964" max="8964" width="35" style="338" customWidth="1"/>
    <col min="8965" max="8965" width="13.7109375" style="338" customWidth="1"/>
    <col min="8966" max="8966" width="8.5703125" style="338" customWidth="1"/>
    <col min="8967" max="8967" width="16.85546875" style="338" customWidth="1"/>
    <col min="8968" max="8968" width="45.140625" style="338" customWidth="1"/>
    <col min="8969" max="8969" width="9.140625" style="338" customWidth="1"/>
    <col min="8970" max="8970" width="14.28515625" style="338" bestFit="1" customWidth="1"/>
    <col min="8971" max="8971" width="12" style="338" bestFit="1" customWidth="1"/>
    <col min="8972" max="9215" width="9.140625" style="338" customWidth="1"/>
    <col min="9216" max="9217" width="5.42578125" style="338"/>
    <col min="9218" max="9218" width="37" style="338" customWidth="1"/>
    <col min="9219" max="9219" width="10.28515625" style="338" customWidth="1"/>
    <col min="9220" max="9220" width="35" style="338" customWidth="1"/>
    <col min="9221" max="9221" width="13.7109375" style="338" customWidth="1"/>
    <col min="9222" max="9222" width="8.5703125" style="338" customWidth="1"/>
    <col min="9223" max="9223" width="16.85546875" style="338" customWidth="1"/>
    <col min="9224" max="9224" width="45.140625" style="338" customWidth="1"/>
    <col min="9225" max="9225" width="9.140625" style="338" customWidth="1"/>
    <col min="9226" max="9226" width="14.28515625" style="338" bestFit="1" customWidth="1"/>
    <col min="9227" max="9227" width="12" style="338" bestFit="1" customWidth="1"/>
    <col min="9228" max="9471" width="9.140625" style="338" customWidth="1"/>
    <col min="9472" max="9473" width="5.42578125" style="338"/>
    <col min="9474" max="9474" width="37" style="338" customWidth="1"/>
    <col min="9475" max="9475" width="10.28515625" style="338" customWidth="1"/>
    <col min="9476" max="9476" width="35" style="338" customWidth="1"/>
    <col min="9477" max="9477" width="13.7109375" style="338" customWidth="1"/>
    <col min="9478" max="9478" width="8.5703125" style="338" customWidth="1"/>
    <col min="9479" max="9479" width="16.85546875" style="338" customWidth="1"/>
    <col min="9480" max="9480" width="45.140625" style="338" customWidth="1"/>
    <col min="9481" max="9481" width="9.140625" style="338" customWidth="1"/>
    <col min="9482" max="9482" width="14.28515625" style="338" bestFit="1" customWidth="1"/>
    <col min="9483" max="9483" width="12" style="338" bestFit="1" customWidth="1"/>
    <col min="9484" max="9727" width="9.140625" style="338" customWidth="1"/>
    <col min="9728" max="9729" width="5.42578125" style="338"/>
    <col min="9730" max="9730" width="37" style="338" customWidth="1"/>
    <col min="9731" max="9731" width="10.28515625" style="338" customWidth="1"/>
    <col min="9732" max="9732" width="35" style="338" customWidth="1"/>
    <col min="9733" max="9733" width="13.7109375" style="338" customWidth="1"/>
    <col min="9734" max="9734" width="8.5703125" style="338" customWidth="1"/>
    <col min="9735" max="9735" width="16.85546875" style="338" customWidth="1"/>
    <col min="9736" max="9736" width="45.140625" style="338" customWidth="1"/>
    <col min="9737" max="9737" width="9.140625" style="338" customWidth="1"/>
    <col min="9738" max="9738" width="14.28515625" style="338" bestFit="1" customWidth="1"/>
    <col min="9739" max="9739" width="12" style="338" bestFit="1" customWidth="1"/>
    <col min="9740" max="9983" width="9.140625" style="338" customWidth="1"/>
    <col min="9984" max="9985" width="5.42578125" style="338"/>
    <col min="9986" max="9986" width="37" style="338" customWidth="1"/>
    <col min="9987" max="9987" width="10.28515625" style="338" customWidth="1"/>
    <col min="9988" max="9988" width="35" style="338" customWidth="1"/>
    <col min="9989" max="9989" width="13.7109375" style="338" customWidth="1"/>
    <col min="9990" max="9990" width="8.5703125" style="338" customWidth="1"/>
    <col min="9991" max="9991" width="16.85546875" style="338" customWidth="1"/>
    <col min="9992" max="9992" width="45.140625" style="338" customWidth="1"/>
    <col min="9993" max="9993" width="9.140625" style="338" customWidth="1"/>
    <col min="9994" max="9994" width="14.28515625" style="338" bestFit="1" customWidth="1"/>
    <col min="9995" max="9995" width="12" style="338" bestFit="1" customWidth="1"/>
    <col min="9996" max="10239" width="9.140625" style="338" customWidth="1"/>
    <col min="10240" max="10241" width="5.42578125" style="338"/>
    <col min="10242" max="10242" width="37" style="338" customWidth="1"/>
    <col min="10243" max="10243" width="10.28515625" style="338" customWidth="1"/>
    <col min="10244" max="10244" width="35" style="338" customWidth="1"/>
    <col min="10245" max="10245" width="13.7109375" style="338" customWidth="1"/>
    <col min="10246" max="10246" width="8.5703125" style="338" customWidth="1"/>
    <col min="10247" max="10247" width="16.85546875" style="338" customWidth="1"/>
    <col min="10248" max="10248" width="45.140625" style="338" customWidth="1"/>
    <col min="10249" max="10249" width="9.140625" style="338" customWidth="1"/>
    <col min="10250" max="10250" width="14.28515625" style="338" bestFit="1" customWidth="1"/>
    <col min="10251" max="10251" width="12" style="338" bestFit="1" customWidth="1"/>
    <col min="10252" max="10495" width="9.140625" style="338" customWidth="1"/>
    <col min="10496" max="10497" width="5.42578125" style="338"/>
    <col min="10498" max="10498" width="37" style="338" customWidth="1"/>
    <col min="10499" max="10499" width="10.28515625" style="338" customWidth="1"/>
    <col min="10500" max="10500" width="35" style="338" customWidth="1"/>
    <col min="10501" max="10501" width="13.7109375" style="338" customWidth="1"/>
    <col min="10502" max="10502" width="8.5703125" style="338" customWidth="1"/>
    <col min="10503" max="10503" width="16.85546875" style="338" customWidth="1"/>
    <col min="10504" max="10504" width="45.140625" style="338" customWidth="1"/>
    <col min="10505" max="10505" width="9.140625" style="338" customWidth="1"/>
    <col min="10506" max="10506" width="14.28515625" style="338" bestFit="1" customWidth="1"/>
    <col min="10507" max="10507" width="12" style="338" bestFit="1" customWidth="1"/>
    <col min="10508" max="10751" width="9.140625" style="338" customWidth="1"/>
    <col min="10752" max="10753" width="5.42578125" style="338"/>
    <col min="10754" max="10754" width="37" style="338" customWidth="1"/>
    <col min="10755" max="10755" width="10.28515625" style="338" customWidth="1"/>
    <col min="10756" max="10756" width="35" style="338" customWidth="1"/>
    <col min="10757" max="10757" width="13.7109375" style="338" customWidth="1"/>
    <col min="10758" max="10758" width="8.5703125" style="338" customWidth="1"/>
    <col min="10759" max="10759" width="16.85546875" style="338" customWidth="1"/>
    <col min="10760" max="10760" width="45.140625" style="338" customWidth="1"/>
    <col min="10761" max="10761" width="9.140625" style="338" customWidth="1"/>
    <col min="10762" max="10762" width="14.28515625" style="338" bestFit="1" customWidth="1"/>
    <col min="10763" max="10763" width="12" style="338" bestFit="1" customWidth="1"/>
    <col min="10764" max="11007" width="9.140625" style="338" customWidth="1"/>
    <col min="11008" max="11009" width="5.42578125" style="338"/>
    <col min="11010" max="11010" width="37" style="338" customWidth="1"/>
    <col min="11011" max="11011" width="10.28515625" style="338" customWidth="1"/>
    <col min="11012" max="11012" width="35" style="338" customWidth="1"/>
    <col min="11013" max="11013" width="13.7109375" style="338" customWidth="1"/>
    <col min="11014" max="11014" width="8.5703125" style="338" customWidth="1"/>
    <col min="11015" max="11015" width="16.85546875" style="338" customWidth="1"/>
    <col min="11016" max="11016" width="45.140625" style="338" customWidth="1"/>
    <col min="11017" max="11017" width="9.140625" style="338" customWidth="1"/>
    <col min="11018" max="11018" width="14.28515625" style="338" bestFit="1" customWidth="1"/>
    <col min="11019" max="11019" width="12" style="338" bestFit="1" customWidth="1"/>
    <col min="11020" max="11263" width="9.140625" style="338" customWidth="1"/>
    <col min="11264" max="11265" width="5.42578125" style="338"/>
    <col min="11266" max="11266" width="37" style="338" customWidth="1"/>
    <col min="11267" max="11267" width="10.28515625" style="338" customWidth="1"/>
    <col min="11268" max="11268" width="35" style="338" customWidth="1"/>
    <col min="11269" max="11269" width="13.7109375" style="338" customWidth="1"/>
    <col min="11270" max="11270" width="8.5703125" style="338" customWidth="1"/>
    <col min="11271" max="11271" width="16.85546875" style="338" customWidth="1"/>
    <col min="11272" max="11272" width="45.140625" style="338" customWidth="1"/>
    <col min="11273" max="11273" width="9.140625" style="338" customWidth="1"/>
    <col min="11274" max="11274" width="14.28515625" style="338" bestFit="1" customWidth="1"/>
    <col min="11275" max="11275" width="12" style="338" bestFit="1" customWidth="1"/>
    <col min="11276" max="11519" width="9.140625" style="338" customWidth="1"/>
    <col min="11520" max="11521" width="5.42578125" style="338"/>
    <col min="11522" max="11522" width="37" style="338" customWidth="1"/>
    <col min="11523" max="11523" width="10.28515625" style="338" customWidth="1"/>
    <col min="11524" max="11524" width="35" style="338" customWidth="1"/>
    <col min="11525" max="11525" width="13.7109375" style="338" customWidth="1"/>
    <col min="11526" max="11526" width="8.5703125" style="338" customWidth="1"/>
    <col min="11527" max="11527" width="16.85546875" style="338" customWidth="1"/>
    <col min="11528" max="11528" width="45.140625" style="338" customWidth="1"/>
    <col min="11529" max="11529" width="9.140625" style="338" customWidth="1"/>
    <col min="11530" max="11530" width="14.28515625" style="338" bestFit="1" customWidth="1"/>
    <col min="11531" max="11531" width="12" style="338" bestFit="1" customWidth="1"/>
    <col min="11532" max="11775" width="9.140625" style="338" customWidth="1"/>
    <col min="11776" max="11777" width="5.42578125" style="338"/>
    <col min="11778" max="11778" width="37" style="338" customWidth="1"/>
    <col min="11779" max="11779" width="10.28515625" style="338" customWidth="1"/>
    <col min="11780" max="11780" width="35" style="338" customWidth="1"/>
    <col min="11781" max="11781" width="13.7109375" style="338" customWidth="1"/>
    <col min="11782" max="11782" width="8.5703125" style="338" customWidth="1"/>
    <col min="11783" max="11783" width="16.85546875" style="338" customWidth="1"/>
    <col min="11784" max="11784" width="45.140625" style="338" customWidth="1"/>
    <col min="11785" max="11785" width="9.140625" style="338" customWidth="1"/>
    <col min="11786" max="11786" width="14.28515625" style="338" bestFit="1" customWidth="1"/>
    <col min="11787" max="11787" width="12" style="338" bestFit="1" customWidth="1"/>
    <col min="11788" max="12031" width="9.140625" style="338" customWidth="1"/>
    <col min="12032" max="12033" width="5.42578125" style="338"/>
    <col min="12034" max="12034" width="37" style="338" customWidth="1"/>
    <col min="12035" max="12035" width="10.28515625" style="338" customWidth="1"/>
    <col min="12036" max="12036" width="35" style="338" customWidth="1"/>
    <col min="12037" max="12037" width="13.7109375" style="338" customWidth="1"/>
    <col min="12038" max="12038" width="8.5703125" style="338" customWidth="1"/>
    <col min="12039" max="12039" width="16.85546875" style="338" customWidth="1"/>
    <col min="12040" max="12040" width="45.140625" style="338" customWidth="1"/>
    <col min="12041" max="12041" width="9.140625" style="338" customWidth="1"/>
    <col min="12042" max="12042" width="14.28515625" style="338" bestFit="1" customWidth="1"/>
    <col min="12043" max="12043" width="12" style="338" bestFit="1" customWidth="1"/>
    <col min="12044" max="12287" width="9.140625" style="338" customWidth="1"/>
    <col min="12288" max="12289" width="5.42578125" style="338"/>
    <col min="12290" max="12290" width="37" style="338" customWidth="1"/>
    <col min="12291" max="12291" width="10.28515625" style="338" customWidth="1"/>
    <col min="12292" max="12292" width="35" style="338" customWidth="1"/>
    <col min="12293" max="12293" width="13.7109375" style="338" customWidth="1"/>
    <col min="12294" max="12294" width="8.5703125" style="338" customWidth="1"/>
    <col min="12295" max="12295" width="16.85546875" style="338" customWidth="1"/>
    <col min="12296" max="12296" width="45.140625" style="338" customWidth="1"/>
    <col min="12297" max="12297" width="9.140625" style="338" customWidth="1"/>
    <col min="12298" max="12298" width="14.28515625" style="338" bestFit="1" customWidth="1"/>
    <col min="12299" max="12299" width="12" style="338" bestFit="1" customWidth="1"/>
    <col min="12300" max="12543" width="9.140625" style="338" customWidth="1"/>
    <col min="12544" max="12545" width="5.42578125" style="338"/>
    <col min="12546" max="12546" width="37" style="338" customWidth="1"/>
    <col min="12547" max="12547" width="10.28515625" style="338" customWidth="1"/>
    <col min="12548" max="12548" width="35" style="338" customWidth="1"/>
    <col min="12549" max="12549" width="13.7109375" style="338" customWidth="1"/>
    <col min="12550" max="12550" width="8.5703125" style="338" customWidth="1"/>
    <col min="12551" max="12551" width="16.85546875" style="338" customWidth="1"/>
    <col min="12552" max="12552" width="45.140625" style="338" customWidth="1"/>
    <col min="12553" max="12553" width="9.140625" style="338" customWidth="1"/>
    <col min="12554" max="12554" width="14.28515625" style="338" bestFit="1" customWidth="1"/>
    <col min="12555" max="12555" width="12" style="338" bestFit="1" customWidth="1"/>
    <col min="12556" max="12799" width="9.140625" style="338" customWidth="1"/>
    <col min="12800" max="12801" width="5.42578125" style="338"/>
    <col min="12802" max="12802" width="37" style="338" customWidth="1"/>
    <col min="12803" max="12803" width="10.28515625" style="338" customWidth="1"/>
    <col min="12804" max="12804" width="35" style="338" customWidth="1"/>
    <col min="12805" max="12805" width="13.7109375" style="338" customWidth="1"/>
    <col min="12806" max="12806" width="8.5703125" style="338" customWidth="1"/>
    <col min="12807" max="12807" width="16.85546875" style="338" customWidth="1"/>
    <col min="12808" max="12808" width="45.140625" style="338" customWidth="1"/>
    <col min="12809" max="12809" width="9.140625" style="338" customWidth="1"/>
    <col min="12810" max="12810" width="14.28515625" style="338" bestFit="1" customWidth="1"/>
    <col min="12811" max="12811" width="12" style="338" bestFit="1" customWidth="1"/>
    <col min="12812" max="13055" width="9.140625" style="338" customWidth="1"/>
    <col min="13056" max="13057" width="5.42578125" style="338"/>
    <col min="13058" max="13058" width="37" style="338" customWidth="1"/>
    <col min="13059" max="13059" width="10.28515625" style="338" customWidth="1"/>
    <col min="13060" max="13060" width="35" style="338" customWidth="1"/>
    <col min="13061" max="13061" width="13.7109375" style="338" customWidth="1"/>
    <col min="13062" max="13062" width="8.5703125" style="338" customWidth="1"/>
    <col min="13063" max="13063" width="16.85546875" style="338" customWidth="1"/>
    <col min="13064" max="13064" width="45.140625" style="338" customWidth="1"/>
    <col min="13065" max="13065" width="9.140625" style="338" customWidth="1"/>
    <col min="13066" max="13066" width="14.28515625" style="338" bestFit="1" customWidth="1"/>
    <col min="13067" max="13067" width="12" style="338" bestFit="1" customWidth="1"/>
    <col min="13068" max="13311" width="9.140625" style="338" customWidth="1"/>
    <col min="13312" max="13313" width="5.42578125" style="338"/>
    <col min="13314" max="13314" width="37" style="338" customWidth="1"/>
    <col min="13315" max="13315" width="10.28515625" style="338" customWidth="1"/>
    <col min="13316" max="13316" width="35" style="338" customWidth="1"/>
    <col min="13317" max="13317" width="13.7109375" style="338" customWidth="1"/>
    <col min="13318" max="13318" width="8.5703125" style="338" customWidth="1"/>
    <col min="13319" max="13319" width="16.85546875" style="338" customWidth="1"/>
    <col min="13320" max="13320" width="45.140625" style="338" customWidth="1"/>
    <col min="13321" max="13321" width="9.140625" style="338" customWidth="1"/>
    <col min="13322" max="13322" width="14.28515625" style="338" bestFit="1" customWidth="1"/>
    <col min="13323" max="13323" width="12" style="338" bestFit="1" customWidth="1"/>
    <col min="13324" max="13567" width="9.140625" style="338" customWidth="1"/>
    <col min="13568" max="13569" width="5.42578125" style="338"/>
    <col min="13570" max="13570" width="37" style="338" customWidth="1"/>
    <col min="13571" max="13571" width="10.28515625" style="338" customWidth="1"/>
    <col min="13572" max="13572" width="35" style="338" customWidth="1"/>
    <col min="13573" max="13573" width="13.7109375" style="338" customWidth="1"/>
    <col min="13574" max="13574" width="8.5703125" style="338" customWidth="1"/>
    <col min="13575" max="13575" width="16.85546875" style="338" customWidth="1"/>
    <col min="13576" max="13576" width="45.140625" style="338" customWidth="1"/>
    <col min="13577" max="13577" width="9.140625" style="338" customWidth="1"/>
    <col min="13578" max="13578" width="14.28515625" style="338" bestFit="1" customWidth="1"/>
    <col min="13579" max="13579" width="12" style="338" bestFit="1" customWidth="1"/>
    <col min="13580" max="13823" width="9.140625" style="338" customWidth="1"/>
    <col min="13824" max="13825" width="5.42578125" style="338"/>
    <col min="13826" max="13826" width="37" style="338" customWidth="1"/>
    <col min="13827" max="13827" width="10.28515625" style="338" customWidth="1"/>
    <col min="13828" max="13828" width="35" style="338" customWidth="1"/>
    <col min="13829" max="13829" width="13.7109375" style="338" customWidth="1"/>
    <col min="13830" max="13830" width="8.5703125" style="338" customWidth="1"/>
    <col min="13831" max="13831" width="16.85546875" style="338" customWidth="1"/>
    <col min="13832" max="13832" width="45.140625" style="338" customWidth="1"/>
    <col min="13833" max="13833" width="9.140625" style="338" customWidth="1"/>
    <col min="13834" max="13834" width="14.28515625" style="338" bestFit="1" customWidth="1"/>
    <col min="13835" max="13835" width="12" style="338" bestFit="1" customWidth="1"/>
    <col min="13836" max="14079" width="9.140625" style="338" customWidth="1"/>
    <col min="14080" max="14081" width="5.42578125" style="338"/>
    <col min="14082" max="14082" width="37" style="338" customWidth="1"/>
    <col min="14083" max="14083" width="10.28515625" style="338" customWidth="1"/>
    <col min="14084" max="14084" width="35" style="338" customWidth="1"/>
    <col min="14085" max="14085" width="13.7109375" style="338" customWidth="1"/>
    <col min="14086" max="14086" width="8.5703125" style="338" customWidth="1"/>
    <col min="14087" max="14087" width="16.85546875" style="338" customWidth="1"/>
    <col min="14088" max="14088" width="45.140625" style="338" customWidth="1"/>
    <col min="14089" max="14089" width="9.140625" style="338" customWidth="1"/>
    <col min="14090" max="14090" width="14.28515625" style="338" bestFit="1" customWidth="1"/>
    <col min="14091" max="14091" width="12" style="338" bestFit="1" customWidth="1"/>
    <col min="14092" max="14335" width="9.140625" style="338" customWidth="1"/>
    <col min="14336" max="14337" width="5.42578125" style="338"/>
    <col min="14338" max="14338" width="37" style="338" customWidth="1"/>
    <col min="14339" max="14339" width="10.28515625" style="338" customWidth="1"/>
    <col min="14340" max="14340" width="35" style="338" customWidth="1"/>
    <col min="14341" max="14341" width="13.7109375" style="338" customWidth="1"/>
    <col min="14342" max="14342" width="8.5703125" style="338" customWidth="1"/>
    <col min="14343" max="14343" width="16.85546875" style="338" customWidth="1"/>
    <col min="14344" max="14344" width="45.140625" style="338" customWidth="1"/>
    <col min="14345" max="14345" width="9.140625" style="338" customWidth="1"/>
    <col min="14346" max="14346" width="14.28515625" style="338" bestFit="1" customWidth="1"/>
    <col min="14347" max="14347" width="12" style="338" bestFit="1" customWidth="1"/>
    <col min="14348" max="14591" width="9.140625" style="338" customWidth="1"/>
    <col min="14592" max="14593" width="5.42578125" style="338"/>
    <col min="14594" max="14594" width="37" style="338" customWidth="1"/>
    <col min="14595" max="14595" width="10.28515625" style="338" customWidth="1"/>
    <col min="14596" max="14596" width="35" style="338" customWidth="1"/>
    <col min="14597" max="14597" width="13.7109375" style="338" customWidth="1"/>
    <col min="14598" max="14598" width="8.5703125" style="338" customWidth="1"/>
    <col min="14599" max="14599" width="16.85546875" style="338" customWidth="1"/>
    <col min="14600" max="14600" width="45.140625" style="338" customWidth="1"/>
    <col min="14601" max="14601" width="9.140625" style="338" customWidth="1"/>
    <col min="14602" max="14602" width="14.28515625" style="338" bestFit="1" customWidth="1"/>
    <col min="14603" max="14603" width="12" style="338" bestFit="1" customWidth="1"/>
    <col min="14604" max="14847" width="9.140625" style="338" customWidth="1"/>
    <col min="14848" max="14849" width="5.42578125" style="338"/>
    <col min="14850" max="14850" width="37" style="338" customWidth="1"/>
    <col min="14851" max="14851" width="10.28515625" style="338" customWidth="1"/>
    <col min="14852" max="14852" width="35" style="338" customWidth="1"/>
    <col min="14853" max="14853" width="13.7109375" style="338" customWidth="1"/>
    <col min="14854" max="14854" width="8.5703125" style="338" customWidth="1"/>
    <col min="14855" max="14855" width="16.85546875" style="338" customWidth="1"/>
    <col min="14856" max="14856" width="45.140625" style="338" customWidth="1"/>
    <col min="14857" max="14857" width="9.140625" style="338" customWidth="1"/>
    <col min="14858" max="14858" width="14.28515625" style="338" bestFit="1" customWidth="1"/>
    <col min="14859" max="14859" width="12" style="338" bestFit="1" customWidth="1"/>
    <col min="14860" max="15103" width="9.140625" style="338" customWidth="1"/>
    <col min="15104" max="15105" width="5.42578125" style="338"/>
    <col min="15106" max="15106" width="37" style="338" customWidth="1"/>
    <col min="15107" max="15107" width="10.28515625" style="338" customWidth="1"/>
    <col min="15108" max="15108" width="35" style="338" customWidth="1"/>
    <col min="15109" max="15109" width="13.7109375" style="338" customWidth="1"/>
    <col min="15110" max="15110" width="8.5703125" style="338" customWidth="1"/>
    <col min="15111" max="15111" width="16.85546875" style="338" customWidth="1"/>
    <col min="15112" max="15112" width="45.140625" style="338" customWidth="1"/>
    <col min="15113" max="15113" width="9.140625" style="338" customWidth="1"/>
    <col min="15114" max="15114" width="14.28515625" style="338" bestFit="1" customWidth="1"/>
    <col min="15115" max="15115" width="12" style="338" bestFit="1" customWidth="1"/>
    <col min="15116" max="15359" width="9.140625" style="338" customWidth="1"/>
    <col min="15360" max="15361" width="5.42578125" style="338"/>
    <col min="15362" max="15362" width="37" style="338" customWidth="1"/>
    <col min="15363" max="15363" width="10.28515625" style="338" customWidth="1"/>
    <col min="15364" max="15364" width="35" style="338" customWidth="1"/>
    <col min="15365" max="15365" width="13.7109375" style="338" customWidth="1"/>
    <col min="15366" max="15366" width="8.5703125" style="338" customWidth="1"/>
    <col min="15367" max="15367" width="16.85546875" style="338" customWidth="1"/>
    <col min="15368" max="15368" width="45.140625" style="338" customWidth="1"/>
    <col min="15369" max="15369" width="9.140625" style="338" customWidth="1"/>
    <col min="15370" max="15370" width="14.28515625" style="338" bestFit="1" customWidth="1"/>
    <col min="15371" max="15371" width="12" style="338" bestFit="1" customWidth="1"/>
    <col min="15372" max="15615" width="9.140625" style="338" customWidth="1"/>
    <col min="15616" max="15617" width="5.42578125" style="338"/>
    <col min="15618" max="15618" width="37" style="338" customWidth="1"/>
    <col min="15619" max="15619" width="10.28515625" style="338" customWidth="1"/>
    <col min="15620" max="15620" width="35" style="338" customWidth="1"/>
    <col min="15621" max="15621" width="13.7109375" style="338" customWidth="1"/>
    <col min="15622" max="15622" width="8.5703125" style="338" customWidth="1"/>
    <col min="15623" max="15623" width="16.85546875" style="338" customWidth="1"/>
    <col min="15624" max="15624" width="45.140625" style="338" customWidth="1"/>
    <col min="15625" max="15625" width="9.140625" style="338" customWidth="1"/>
    <col min="15626" max="15626" width="14.28515625" style="338" bestFit="1" customWidth="1"/>
    <col min="15627" max="15627" width="12" style="338" bestFit="1" customWidth="1"/>
    <col min="15628" max="15871" width="9.140625" style="338" customWidth="1"/>
    <col min="15872" max="15873" width="5.42578125" style="338"/>
    <col min="15874" max="15874" width="37" style="338" customWidth="1"/>
    <col min="15875" max="15875" width="10.28515625" style="338" customWidth="1"/>
    <col min="15876" max="15876" width="35" style="338" customWidth="1"/>
    <col min="15877" max="15877" width="13.7109375" style="338" customWidth="1"/>
    <col min="15878" max="15878" width="8.5703125" style="338" customWidth="1"/>
    <col min="15879" max="15879" width="16.85546875" style="338" customWidth="1"/>
    <col min="15880" max="15880" width="45.140625" style="338" customWidth="1"/>
    <col min="15881" max="15881" width="9.140625" style="338" customWidth="1"/>
    <col min="15882" max="15882" width="14.28515625" style="338" bestFit="1" customWidth="1"/>
    <col min="15883" max="15883" width="12" style="338" bestFit="1" customWidth="1"/>
    <col min="15884" max="16127" width="9.140625" style="338" customWidth="1"/>
    <col min="16128" max="16129" width="5.42578125" style="338"/>
    <col min="16130" max="16130" width="37" style="338" customWidth="1"/>
    <col min="16131" max="16131" width="10.28515625" style="338" customWidth="1"/>
    <col min="16132" max="16132" width="35" style="338" customWidth="1"/>
    <col min="16133" max="16133" width="13.7109375" style="338" customWidth="1"/>
    <col min="16134" max="16134" width="8.5703125" style="338" customWidth="1"/>
    <col min="16135" max="16135" width="16.85546875" style="338" customWidth="1"/>
    <col min="16136" max="16136" width="45.140625" style="338" customWidth="1"/>
    <col min="16137" max="16137" width="9.140625" style="338" customWidth="1"/>
    <col min="16138" max="16138" width="14.28515625" style="338" bestFit="1" customWidth="1"/>
    <col min="16139" max="16139" width="12" style="338" bestFit="1" customWidth="1"/>
    <col min="16140" max="16383" width="9.140625" style="338" customWidth="1"/>
    <col min="16384" max="16384" width="5.42578125" style="338"/>
  </cols>
  <sheetData>
    <row r="1" spans="1:7" x14ac:dyDescent="0.25">
      <c r="G1" s="337" t="s">
        <v>495</v>
      </c>
    </row>
    <row r="3" spans="1:7" ht="12.75" x14ac:dyDescent="0.25">
      <c r="A3" s="592" t="s">
        <v>522</v>
      </c>
      <c r="B3" s="593"/>
      <c r="C3" s="593"/>
      <c r="D3" s="593"/>
      <c r="E3" s="593"/>
      <c r="F3" s="593"/>
      <c r="G3" s="593"/>
    </row>
    <row r="4" spans="1:7" ht="12.75" x14ac:dyDescent="0.25">
      <c r="A4" s="592"/>
      <c r="B4" s="593"/>
      <c r="C4" s="593"/>
      <c r="D4" s="593"/>
      <c r="E4" s="593"/>
      <c r="F4" s="593"/>
      <c r="G4" s="593"/>
    </row>
    <row r="5" spans="1:7" ht="33.75" customHeight="1" x14ac:dyDescent="0.25">
      <c r="A5" s="592" t="s">
        <v>496</v>
      </c>
      <c r="B5" s="594"/>
      <c r="C5" s="594"/>
      <c r="D5" s="594"/>
      <c r="E5" s="594"/>
      <c r="F5" s="594"/>
      <c r="G5" s="594"/>
    </row>
    <row r="6" spans="1:7" x14ac:dyDescent="0.25">
      <c r="A6" s="595" t="s">
        <v>497</v>
      </c>
      <c r="B6" s="595"/>
      <c r="C6" s="595"/>
      <c r="D6" s="595"/>
      <c r="E6" s="595"/>
      <c r="F6" s="595"/>
      <c r="G6" s="595"/>
    </row>
    <row r="7" spans="1:7" ht="12.75" x14ac:dyDescent="0.25">
      <c r="A7" s="596" t="s">
        <v>27</v>
      </c>
      <c r="B7" s="599" t="s">
        <v>8</v>
      </c>
      <c r="C7" s="599" t="s">
        <v>29</v>
      </c>
      <c r="D7" s="599" t="s">
        <v>30</v>
      </c>
      <c r="E7" s="604" t="s">
        <v>498</v>
      </c>
      <c r="F7" s="599" t="s">
        <v>31</v>
      </c>
      <c r="G7" s="607" t="s">
        <v>32</v>
      </c>
    </row>
    <row r="8" spans="1:7" ht="12.75" x14ac:dyDescent="0.25">
      <c r="A8" s="597"/>
      <c r="B8" s="600"/>
      <c r="C8" s="602"/>
      <c r="D8" s="602"/>
      <c r="E8" s="605"/>
      <c r="F8" s="600"/>
      <c r="G8" s="608"/>
    </row>
    <row r="9" spans="1:7" ht="12.75" x14ac:dyDescent="0.25">
      <c r="A9" s="597"/>
      <c r="B9" s="600"/>
      <c r="C9" s="602"/>
      <c r="D9" s="602"/>
      <c r="E9" s="605"/>
      <c r="F9" s="600"/>
      <c r="G9" s="608"/>
    </row>
    <row r="10" spans="1:7" ht="12.75" x14ac:dyDescent="0.25">
      <c r="A10" s="597"/>
      <c r="B10" s="600"/>
      <c r="C10" s="602"/>
      <c r="D10" s="602"/>
      <c r="E10" s="605"/>
      <c r="F10" s="600"/>
      <c r="G10" s="608"/>
    </row>
    <row r="11" spans="1:7" ht="12.75" x14ac:dyDescent="0.25">
      <c r="A11" s="597"/>
      <c r="B11" s="600"/>
      <c r="C11" s="602"/>
      <c r="D11" s="602"/>
      <c r="E11" s="605"/>
      <c r="F11" s="600"/>
      <c r="G11" s="608"/>
    </row>
    <row r="12" spans="1:7" ht="12.75" x14ac:dyDescent="0.25">
      <c r="A12" s="597"/>
      <c r="B12" s="600"/>
      <c r="C12" s="602"/>
      <c r="D12" s="602"/>
      <c r="E12" s="605"/>
      <c r="F12" s="600"/>
      <c r="G12" s="608"/>
    </row>
    <row r="13" spans="1:7" ht="12.75" x14ac:dyDescent="0.25">
      <c r="A13" s="598"/>
      <c r="B13" s="601"/>
      <c r="C13" s="603"/>
      <c r="D13" s="603"/>
      <c r="E13" s="606"/>
      <c r="F13" s="601"/>
      <c r="G13" s="609"/>
    </row>
    <row r="14" spans="1:7" x14ac:dyDescent="0.25">
      <c r="A14" s="339" t="s">
        <v>499</v>
      </c>
      <c r="B14" s="340" t="s">
        <v>500</v>
      </c>
      <c r="C14" s="340" t="s">
        <v>501</v>
      </c>
      <c r="D14" s="340" t="s">
        <v>502</v>
      </c>
      <c r="E14" s="341" t="s">
        <v>503</v>
      </c>
      <c r="F14" s="340" t="s">
        <v>504</v>
      </c>
      <c r="G14" s="341" t="s">
        <v>505</v>
      </c>
    </row>
    <row r="15" spans="1:7" ht="14.25" x14ac:dyDescent="0.25">
      <c r="A15" s="610">
        <v>1</v>
      </c>
      <c r="B15" s="613" t="s">
        <v>506</v>
      </c>
      <c r="C15" s="614"/>
      <c r="D15" s="614"/>
      <c r="E15" s="614"/>
      <c r="F15" s="614"/>
      <c r="G15" s="615"/>
    </row>
    <row r="16" spans="1:7" ht="45" x14ac:dyDescent="0.25">
      <c r="A16" s="611"/>
      <c r="B16" s="342" t="s">
        <v>507</v>
      </c>
      <c r="C16" s="340" t="s">
        <v>396</v>
      </c>
      <c r="D16" s="340" t="s">
        <v>508</v>
      </c>
      <c r="E16" s="343">
        <v>220</v>
      </c>
      <c r="F16" s="344">
        <v>1</v>
      </c>
      <c r="G16" s="345">
        <f>E16*F16</f>
        <v>220</v>
      </c>
    </row>
    <row r="17" spans="1:256" ht="30" x14ac:dyDescent="0.25">
      <c r="A17" s="612"/>
      <c r="B17" s="342" t="s">
        <v>509</v>
      </c>
      <c r="C17" s="340" t="s">
        <v>510</v>
      </c>
      <c r="D17" s="340" t="s">
        <v>511</v>
      </c>
      <c r="E17" s="343">
        <v>1410</v>
      </c>
      <c r="F17" s="344">
        <v>1</v>
      </c>
      <c r="G17" s="345">
        <f>E17*F17</f>
        <v>1410</v>
      </c>
    </row>
    <row r="18" spans="1:256" ht="14.25" x14ac:dyDescent="0.25">
      <c r="A18" s="589" t="s">
        <v>512</v>
      </c>
      <c r="B18" s="590"/>
      <c r="C18" s="590"/>
      <c r="D18" s="590"/>
      <c r="E18" s="590"/>
      <c r="F18" s="591"/>
      <c r="G18" s="346">
        <f>G16+G17</f>
        <v>1630</v>
      </c>
      <c r="H18" s="347"/>
      <c r="I18" s="347"/>
      <c r="J18" s="347"/>
      <c r="K18" s="347"/>
      <c r="L18" s="347"/>
      <c r="M18" s="347"/>
      <c r="N18" s="347"/>
      <c r="O18" s="347"/>
      <c r="P18" s="347"/>
      <c r="Q18" s="347"/>
      <c r="R18" s="347"/>
      <c r="S18" s="347"/>
      <c r="T18" s="347"/>
      <c r="U18" s="347"/>
      <c r="V18" s="347"/>
      <c r="W18" s="347"/>
      <c r="X18" s="347"/>
      <c r="Y18" s="347"/>
      <c r="Z18" s="347"/>
      <c r="AA18" s="347"/>
      <c r="AB18" s="347"/>
      <c r="AC18" s="347"/>
      <c r="AD18" s="347"/>
      <c r="AE18" s="347"/>
      <c r="AF18" s="347"/>
      <c r="AG18" s="347"/>
      <c r="AH18" s="347"/>
      <c r="AI18" s="347"/>
      <c r="AJ18" s="347"/>
      <c r="AK18" s="347"/>
      <c r="AL18" s="347"/>
      <c r="AM18" s="347"/>
      <c r="AN18" s="347"/>
      <c r="AO18" s="347"/>
      <c r="AP18" s="347"/>
      <c r="AQ18" s="347"/>
      <c r="AR18" s="347"/>
      <c r="AS18" s="347"/>
      <c r="AT18" s="347"/>
      <c r="AU18" s="347"/>
      <c r="AV18" s="347"/>
      <c r="AW18" s="347"/>
      <c r="AX18" s="347"/>
      <c r="AY18" s="347"/>
      <c r="AZ18" s="347"/>
      <c r="BA18" s="347"/>
      <c r="BB18" s="347"/>
      <c r="BC18" s="347"/>
      <c r="BD18" s="347"/>
      <c r="BE18" s="347"/>
      <c r="BF18" s="347"/>
      <c r="BG18" s="347"/>
      <c r="BH18" s="347"/>
      <c r="BI18" s="347"/>
      <c r="BJ18" s="347"/>
      <c r="BK18" s="347"/>
      <c r="BL18" s="347"/>
      <c r="BM18" s="347"/>
      <c r="BN18" s="347"/>
      <c r="BO18" s="347"/>
      <c r="BP18" s="347"/>
      <c r="BQ18" s="347"/>
      <c r="BR18" s="347"/>
      <c r="BS18" s="347"/>
      <c r="BT18" s="347"/>
      <c r="BU18" s="347"/>
      <c r="BV18" s="347"/>
      <c r="BW18" s="347"/>
      <c r="BX18" s="347"/>
      <c r="BY18" s="347"/>
      <c r="BZ18" s="347"/>
      <c r="CA18" s="347"/>
      <c r="CB18" s="347"/>
      <c r="CC18" s="347"/>
      <c r="CD18" s="347"/>
      <c r="CE18" s="347"/>
      <c r="CF18" s="347"/>
      <c r="CG18" s="347"/>
      <c r="CH18" s="347"/>
      <c r="CI18" s="347"/>
      <c r="CJ18" s="347"/>
      <c r="CK18" s="347"/>
      <c r="CL18" s="347"/>
      <c r="CM18" s="347"/>
      <c r="CN18" s="347"/>
      <c r="CO18" s="347"/>
      <c r="CP18" s="347"/>
      <c r="CQ18" s="347"/>
      <c r="CR18" s="347"/>
      <c r="CS18" s="347"/>
      <c r="CT18" s="347"/>
      <c r="CU18" s="347"/>
      <c r="CV18" s="347"/>
      <c r="CW18" s="347"/>
      <c r="CX18" s="347"/>
      <c r="CY18" s="347"/>
      <c r="CZ18" s="347"/>
      <c r="DA18" s="347"/>
      <c r="DB18" s="347"/>
      <c r="DC18" s="347"/>
      <c r="DD18" s="347"/>
      <c r="DE18" s="347"/>
      <c r="DF18" s="347"/>
      <c r="DG18" s="347"/>
      <c r="DH18" s="347"/>
      <c r="DI18" s="347"/>
      <c r="DJ18" s="347"/>
      <c r="DK18" s="347"/>
      <c r="DL18" s="347"/>
      <c r="DM18" s="347"/>
      <c r="DN18" s="347"/>
      <c r="DO18" s="347"/>
      <c r="DP18" s="347"/>
      <c r="DQ18" s="347"/>
      <c r="DR18" s="347"/>
      <c r="DS18" s="347"/>
      <c r="DT18" s="347"/>
      <c r="DU18" s="347"/>
      <c r="DV18" s="347"/>
      <c r="DW18" s="347"/>
      <c r="DX18" s="347"/>
      <c r="DY18" s="347"/>
      <c r="DZ18" s="347"/>
      <c r="EA18" s="347"/>
      <c r="EB18" s="347"/>
      <c r="EC18" s="347"/>
      <c r="ED18" s="347"/>
      <c r="EE18" s="347"/>
      <c r="EF18" s="347"/>
      <c r="EG18" s="347"/>
      <c r="EH18" s="347"/>
      <c r="EI18" s="347"/>
      <c r="EJ18" s="347"/>
      <c r="EK18" s="347"/>
      <c r="EL18" s="347"/>
      <c r="EM18" s="347"/>
      <c r="EN18" s="347"/>
      <c r="EO18" s="347"/>
      <c r="EP18" s="347"/>
      <c r="EQ18" s="347"/>
      <c r="ER18" s="347"/>
      <c r="ES18" s="347"/>
      <c r="ET18" s="347"/>
      <c r="EU18" s="347"/>
      <c r="EV18" s="347"/>
      <c r="EW18" s="347"/>
      <c r="EX18" s="347"/>
      <c r="EY18" s="347"/>
      <c r="EZ18" s="347"/>
      <c r="FA18" s="347"/>
      <c r="FB18" s="347"/>
      <c r="FC18" s="347"/>
      <c r="FD18" s="347"/>
      <c r="FE18" s="347"/>
      <c r="FF18" s="347"/>
      <c r="FG18" s="347"/>
      <c r="FH18" s="347"/>
      <c r="FI18" s="347"/>
      <c r="FJ18" s="347"/>
      <c r="FK18" s="347"/>
      <c r="FL18" s="347"/>
      <c r="FM18" s="347"/>
      <c r="FN18" s="347"/>
      <c r="FO18" s="347"/>
      <c r="FP18" s="347"/>
      <c r="FQ18" s="347"/>
      <c r="FR18" s="347"/>
      <c r="FS18" s="347"/>
      <c r="FT18" s="347"/>
      <c r="FU18" s="347"/>
      <c r="FV18" s="347"/>
      <c r="FW18" s="347"/>
      <c r="FX18" s="347"/>
      <c r="FY18" s="347"/>
      <c r="FZ18" s="347"/>
      <c r="GA18" s="347"/>
      <c r="GB18" s="347"/>
      <c r="GC18" s="347"/>
      <c r="GD18" s="347"/>
      <c r="GE18" s="347"/>
      <c r="GF18" s="347"/>
      <c r="GG18" s="347"/>
      <c r="GH18" s="347"/>
      <c r="GI18" s="347"/>
      <c r="GJ18" s="347"/>
      <c r="GK18" s="347"/>
      <c r="GL18" s="347"/>
      <c r="GM18" s="347"/>
      <c r="GN18" s="347"/>
      <c r="GO18" s="347"/>
      <c r="GP18" s="347"/>
      <c r="GQ18" s="347"/>
      <c r="GR18" s="347"/>
      <c r="GS18" s="347"/>
      <c r="GT18" s="347"/>
      <c r="GU18" s="347"/>
      <c r="GV18" s="347"/>
      <c r="GW18" s="347"/>
      <c r="GX18" s="347"/>
      <c r="GY18" s="347"/>
      <c r="GZ18" s="347"/>
      <c r="HA18" s="347"/>
      <c r="HB18" s="347"/>
      <c r="HC18" s="347"/>
      <c r="HD18" s="347"/>
      <c r="HE18" s="347"/>
      <c r="HF18" s="347"/>
      <c r="HG18" s="347"/>
      <c r="HH18" s="347"/>
      <c r="HI18" s="347"/>
      <c r="HJ18" s="347"/>
      <c r="HK18" s="347"/>
      <c r="HL18" s="347"/>
      <c r="HM18" s="347"/>
      <c r="HN18" s="347"/>
      <c r="HO18" s="347"/>
      <c r="HP18" s="347"/>
      <c r="HQ18" s="347"/>
      <c r="HR18" s="347"/>
      <c r="HS18" s="347"/>
      <c r="HT18" s="347"/>
      <c r="HU18" s="347"/>
      <c r="HV18" s="347"/>
      <c r="HW18" s="347"/>
      <c r="HX18" s="347"/>
      <c r="HY18" s="347"/>
      <c r="HZ18" s="347"/>
      <c r="IA18" s="347"/>
      <c r="IB18" s="347"/>
      <c r="IC18" s="347"/>
      <c r="ID18" s="347"/>
      <c r="IE18" s="347"/>
      <c r="IF18" s="347"/>
      <c r="IG18" s="347"/>
      <c r="IH18" s="347"/>
      <c r="II18" s="347"/>
      <c r="IJ18" s="347"/>
      <c r="IK18" s="347"/>
      <c r="IL18" s="347"/>
      <c r="IM18" s="347"/>
      <c r="IN18" s="347"/>
      <c r="IO18" s="347"/>
      <c r="IP18" s="347"/>
      <c r="IQ18" s="347"/>
      <c r="IR18" s="347"/>
      <c r="IS18" s="347"/>
      <c r="IT18" s="347"/>
      <c r="IU18" s="347"/>
      <c r="IV18" s="347"/>
    </row>
    <row r="19" spans="1:256" ht="14.25" x14ac:dyDescent="0.25">
      <c r="A19" s="610">
        <v>2</v>
      </c>
      <c r="B19" s="613" t="s">
        <v>513</v>
      </c>
      <c r="C19" s="614"/>
      <c r="D19" s="614"/>
      <c r="E19" s="614"/>
      <c r="F19" s="614"/>
      <c r="G19" s="615"/>
    </row>
    <row r="20" spans="1:256" ht="60" x14ac:dyDescent="0.25">
      <c r="A20" s="612"/>
      <c r="B20" s="342" t="s">
        <v>514</v>
      </c>
      <c r="C20" s="340" t="s">
        <v>515</v>
      </c>
      <c r="D20" s="340" t="s">
        <v>516</v>
      </c>
      <c r="E20" s="343">
        <v>780</v>
      </c>
      <c r="F20" s="348">
        <v>3.5</v>
      </c>
      <c r="G20" s="345">
        <f>E20*F20</f>
        <v>2730</v>
      </c>
    </row>
    <row r="21" spans="1:256" ht="14.25" x14ac:dyDescent="0.25">
      <c r="A21" s="589" t="s">
        <v>517</v>
      </c>
      <c r="B21" s="590"/>
      <c r="C21" s="590"/>
      <c r="D21" s="590"/>
      <c r="E21" s="590"/>
      <c r="F21" s="591"/>
      <c r="G21" s="346">
        <f>G20</f>
        <v>2730</v>
      </c>
    </row>
    <row r="22" spans="1:256" ht="14.25" x14ac:dyDescent="0.25">
      <c r="A22" s="589" t="s">
        <v>518</v>
      </c>
      <c r="B22" s="590"/>
      <c r="C22" s="590"/>
      <c r="D22" s="590"/>
      <c r="E22" s="590"/>
      <c r="F22" s="591"/>
      <c r="G22" s="346">
        <f>G18+G21</f>
        <v>4360</v>
      </c>
      <c r="H22" s="347"/>
      <c r="I22" s="347"/>
      <c r="J22" s="347"/>
      <c r="K22" s="347"/>
      <c r="L22" s="347"/>
      <c r="M22" s="347"/>
      <c r="N22" s="347"/>
      <c r="O22" s="347"/>
      <c r="P22" s="347"/>
      <c r="Q22" s="347"/>
      <c r="R22" s="347"/>
      <c r="S22" s="347"/>
      <c r="T22" s="347"/>
      <c r="U22" s="347"/>
      <c r="V22" s="347"/>
      <c r="W22" s="347"/>
      <c r="X22" s="347"/>
      <c r="Y22" s="347"/>
      <c r="Z22" s="347"/>
      <c r="AA22" s="347"/>
      <c r="AB22" s="347"/>
      <c r="AC22" s="347"/>
      <c r="AD22" s="347"/>
      <c r="AE22" s="347"/>
      <c r="AF22" s="347"/>
      <c r="AG22" s="347"/>
      <c r="AH22" s="347"/>
      <c r="AI22" s="347"/>
      <c r="AJ22" s="347"/>
      <c r="AK22" s="347"/>
      <c r="AL22" s="347"/>
      <c r="AM22" s="347"/>
      <c r="AN22" s="347"/>
      <c r="AO22" s="347"/>
      <c r="AP22" s="347"/>
      <c r="AQ22" s="347"/>
      <c r="AR22" s="347"/>
      <c r="AS22" s="347"/>
      <c r="AT22" s="347"/>
      <c r="AU22" s="347"/>
      <c r="AV22" s="347"/>
      <c r="AW22" s="347"/>
      <c r="AX22" s="347"/>
      <c r="AY22" s="347"/>
      <c r="AZ22" s="347"/>
      <c r="BA22" s="347"/>
      <c r="BB22" s="347"/>
      <c r="BC22" s="347"/>
      <c r="BD22" s="347"/>
      <c r="BE22" s="347"/>
      <c r="BF22" s="347"/>
      <c r="BG22" s="347"/>
      <c r="BH22" s="347"/>
      <c r="BI22" s="347"/>
      <c r="BJ22" s="347"/>
      <c r="BK22" s="347"/>
      <c r="BL22" s="347"/>
      <c r="BM22" s="347"/>
      <c r="BN22" s="347"/>
      <c r="BO22" s="347"/>
      <c r="BP22" s="347"/>
      <c r="BQ22" s="347"/>
      <c r="BR22" s="347"/>
      <c r="BS22" s="347"/>
      <c r="BT22" s="347"/>
      <c r="BU22" s="347"/>
      <c r="BV22" s="347"/>
      <c r="BW22" s="347"/>
      <c r="BX22" s="347"/>
      <c r="BY22" s="347"/>
      <c r="BZ22" s="347"/>
      <c r="CA22" s="347"/>
      <c r="CB22" s="347"/>
      <c r="CC22" s="347"/>
      <c r="CD22" s="347"/>
      <c r="CE22" s="347"/>
      <c r="CF22" s="347"/>
      <c r="CG22" s="347"/>
      <c r="CH22" s="347"/>
      <c r="CI22" s="347"/>
      <c r="CJ22" s="347"/>
      <c r="CK22" s="347"/>
      <c r="CL22" s="347"/>
      <c r="CM22" s="347"/>
      <c r="CN22" s="347"/>
      <c r="CO22" s="347"/>
      <c r="CP22" s="347"/>
      <c r="CQ22" s="347"/>
      <c r="CR22" s="347"/>
      <c r="CS22" s="347"/>
      <c r="CT22" s="347"/>
      <c r="CU22" s="347"/>
      <c r="CV22" s="347"/>
      <c r="CW22" s="347"/>
      <c r="CX22" s="347"/>
      <c r="CY22" s="347"/>
      <c r="CZ22" s="347"/>
      <c r="DA22" s="347"/>
      <c r="DB22" s="347"/>
      <c r="DC22" s="347"/>
      <c r="DD22" s="347"/>
      <c r="DE22" s="347"/>
      <c r="DF22" s="347"/>
      <c r="DG22" s="347"/>
      <c r="DH22" s="347"/>
      <c r="DI22" s="347"/>
      <c r="DJ22" s="347"/>
      <c r="DK22" s="347"/>
      <c r="DL22" s="347"/>
      <c r="DM22" s="347"/>
      <c r="DN22" s="347"/>
      <c r="DO22" s="347"/>
      <c r="DP22" s="347"/>
      <c r="DQ22" s="347"/>
      <c r="DR22" s="347"/>
      <c r="DS22" s="347"/>
      <c r="DT22" s="347"/>
      <c r="DU22" s="347"/>
      <c r="DV22" s="347"/>
      <c r="DW22" s="347"/>
      <c r="DX22" s="347"/>
      <c r="DY22" s="347"/>
      <c r="DZ22" s="347"/>
      <c r="EA22" s="347"/>
      <c r="EB22" s="347"/>
      <c r="EC22" s="347"/>
      <c r="ED22" s="347"/>
      <c r="EE22" s="347"/>
      <c r="EF22" s="347"/>
      <c r="EG22" s="347"/>
      <c r="EH22" s="347"/>
      <c r="EI22" s="347"/>
      <c r="EJ22" s="347"/>
      <c r="EK22" s="347"/>
      <c r="EL22" s="347"/>
      <c r="EM22" s="347"/>
      <c r="EN22" s="347"/>
      <c r="EO22" s="347"/>
      <c r="EP22" s="347"/>
      <c r="EQ22" s="347"/>
      <c r="ER22" s="347"/>
      <c r="ES22" s="347"/>
      <c r="ET22" s="347"/>
      <c r="EU22" s="347"/>
      <c r="EV22" s="347"/>
      <c r="EW22" s="347"/>
      <c r="EX22" s="347"/>
      <c r="EY22" s="347"/>
      <c r="EZ22" s="347"/>
      <c r="FA22" s="347"/>
      <c r="FB22" s="347"/>
      <c r="FC22" s="347"/>
      <c r="FD22" s="347"/>
      <c r="FE22" s="347"/>
      <c r="FF22" s="347"/>
      <c r="FG22" s="347"/>
      <c r="FH22" s="347"/>
      <c r="FI22" s="347"/>
      <c r="FJ22" s="347"/>
      <c r="FK22" s="347"/>
      <c r="FL22" s="347"/>
      <c r="FM22" s="347"/>
      <c r="FN22" s="347"/>
      <c r="FO22" s="347"/>
      <c r="FP22" s="347"/>
      <c r="FQ22" s="347"/>
      <c r="FR22" s="347"/>
      <c r="FS22" s="347"/>
      <c r="FT22" s="347"/>
      <c r="FU22" s="347"/>
      <c r="FV22" s="347"/>
      <c r="FW22" s="347"/>
      <c r="FX22" s="347"/>
      <c r="FY22" s="347"/>
      <c r="FZ22" s="347"/>
      <c r="GA22" s="347"/>
      <c r="GB22" s="347"/>
      <c r="GC22" s="347"/>
      <c r="GD22" s="347"/>
      <c r="GE22" s="347"/>
      <c r="GF22" s="347"/>
      <c r="GG22" s="347"/>
      <c r="GH22" s="347"/>
      <c r="GI22" s="347"/>
      <c r="GJ22" s="347"/>
      <c r="GK22" s="347"/>
      <c r="GL22" s="347"/>
      <c r="GM22" s="347"/>
      <c r="GN22" s="347"/>
      <c r="GO22" s="347"/>
      <c r="GP22" s="347"/>
      <c r="GQ22" s="347"/>
      <c r="GR22" s="347"/>
      <c r="GS22" s="347"/>
      <c r="GT22" s="347"/>
      <c r="GU22" s="347"/>
      <c r="GV22" s="347"/>
      <c r="GW22" s="347"/>
      <c r="GX22" s="347"/>
      <c r="GY22" s="347"/>
      <c r="GZ22" s="347"/>
      <c r="HA22" s="347"/>
      <c r="HB22" s="347"/>
      <c r="HC22" s="347"/>
      <c r="HD22" s="347"/>
      <c r="HE22" s="347"/>
      <c r="HF22" s="347"/>
      <c r="HG22" s="347"/>
      <c r="HH22" s="347"/>
      <c r="HI22" s="347"/>
      <c r="HJ22" s="347"/>
      <c r="HK22" s="347"/>
      <c r="HL22" s="347"/>
      <c r="HM22" s="347"/>
      <c r="HN22" s="347"/>
      <c r="HO22" s="347"/>
      <c r="HP22" s="347"/>
      <c r="HQ22" s="347"/>
      <c r="HR22" s="347"/>
      <c r="HS22" s="347"/>
      <c r="HT22" s="347"/>
      <c r="HU22" s="347"/>
      <c r="HV22" s="347"/>
      <c r="HW22" s="347"/>
      <c r="HX22" s="347"/>
      <c r="HY22" s="347"/>
      <c r="HZ22" s="347"/>
      <c r="IA22" s="347"/>
      <c r="IB22" s="347"/>
      <c r="IC22" s="347"/>
      <c r="ID22" s="347"/>
      <c r="IE22" s="347"/>
      <c r="IF22" s="347"/>
      <c r="IG22" s="347"/>
      <c r="IH22" s="347"/>
      <c r="II22" s="347"/>
      <c r="IJ22" s="347"/>
      <c r="IK22" s="347"/>
      <c r="IL22" s="347"/>
      <c r="IM22" s="347"/>
      <c r="IN22" s="347"/>
      <c r="IO22" s="347"/>
      <c r="IP22" s="347"/>
      <c r="IQ22" s="347"/>
      <c r="IR22" s="347"/>
      <c r="IS22" s="347"/>
      <c r="IT22" s="347"/>
      <c r="IU22" s="347"/>
      <c r="IV22" s="347"/>
    </row>
    <row r="23" spans="1:256" ht="15" x14ac:dyDescent="0.25">
      <c r="A23" s="589" t="s">
        <v>519</v>
      </c>
      <c r="B23" s="591"/>
      <c r="C23" s="621" t="s">
        <v>520</v>
      </c>
      <c r="D23" s="622"/>
      <c r="E23" s="622"/>
      <c r="F23" s="623"/>
      <c r="G23" s="346">
        <f>G22*58.4</f>
        <v>254624</v>
      </c>
    </row>
    <row r="24" spans="1:256" x14ac:dyDescent="0.25">
      <c r="A24" s="613" t="s">
        <v>431</v>
      </c>
      <c r="B24" s="615"/>
      <c r="C24" s="621"/>
      <c r="D24" s="622"/>
      <c r="E24" s="622"/>
      <c r="F24" s="623"/>
      <c r="G24" s="349">
        <f>G23</f>
        <v>254624</v>
      </c>
      <c r="J24" s="350"/>
    </row>
    <row r="25" spans="1:256" x14ac:dyDescent="0.25">
      <c r="A25" s="624" t="s">
        <v>521</v>
      </c>
      <c r="B25" s="625"/>
      <c r="C25" s="625"/>
      <c r="D25" s="625"/>
      <c r="E25" s="625"/>
      <c r="F25" s="626"/>
      <c r="G25" s="351">
        <f>G24</f>
        <v>254624</v>
      </c>
      <c r="H25" s="352"/>
      <c r="I25" s="353"/>
      <c r="J25" s="353"/>
      <c r="K25" s="353"/>
      <c r="L25" s="353"/>
      <c r="M25" s="353"/>
      <c r="N25" s="353"/>
      <c r="O25" s="353"/>
      <c r="P25" s="353"/>
      <c r="Q25" s="353"/>
      <c r="R25" s="353"/>
      <c r="S25" s="353"/>
      <c r="T25" s="353"/>
      <c r="U25" s="353"/>
      <c r="V25" s="353"/>
      <c r="W25" s="353"/>
      <c r="X25" s="353"/>
      <c r="Y25" s="353"/>
      <c r="Z25" s="353"/>
      <c r="AA25" s="353"/>
      <c r="AB25" s="353"/>
      <c r="AC25" s="353"/>
      <c r="AD25" s="353"/>
      <c r="AE25" s="353"/>
      <c r="AF25" s="353"/>
      <c r="AG25" s="353"/>
      <c r="AH25" s="353"/>
      <c r="AI25" s="353"/>
      <c r="AJ25" s="353"/>
      <c r="AK25" s="353"/>
      <c r="AL25" s="353"/>
      <c r="AM25" s="353"/>
      <c r="AN25" s="353"/>
      <c r="AO25" s="353"/>
      <c r="AP25" s="353"/>
      <c r="AQ25" s="353"/>
      <c r="AR25" s="353"/>
      <c r="AS25" s="353"/>
      <c r="AT25" s="353"/>
      <c r="AU25" s="353"/>
      <c r="AV25" s="353"/>
      <c r="AW25" s="353"/>
      <c r="AX25" s="353"/>
      <c r="AY25" s="353"/>
      <c r="AZ25" s="353"/>
      <c r="BA25" s="353"/>
      <c r="BB25" s="353"/>
      <c r="BC25" s="353"/>
      <c r="BD25" s="353"/>
      <c r="BE25" s="353"/>
      <c r="BF25" s="353"/>
      <c r="BG25" s="353"/>
      <c r="BH25" s="353"/>
      <c r="BI25" s="353"/>
      <c r="BJ25" s="353"/>
      <c r="BK25" s="353"/>
      <c r="BL25" s="353"/>
      <c r="BM25" s="353"/>
      <c r="BN25" s="353"/>
      <c r="BO25" s="353"/>
      <c r="BP25" s="353"/>
      <c r="BQ25" s="353"/>
      <c r="BR25" s="353"/>
      <c r="BS25" s="353"/>
      <c r="BT25" s="353"/>
      <c r="BU25" s="353"/>
      <c r="BV25" s="353"/>
      <c r="BW25" s="353"/>
      <c r="BX25" s="353"/>
      <c r="BY25" s="353"/>
      <c r="BZ25" s="353"/>
      <c r="CA25" s="353"/>
      <c r="CB25" s="353"/>
      <c r="CC25" s="353"/>
      <c r="CD25" s="353"/>
      <c r="CE25" s="353"/>
      <c r="CF25" s="353"/>
      <c r="CG25" s="353"/>
      <c r="CH25" s="353"/>
      <c r="CI25" s="353"/>
      <c r="CJ25" s="353"/>
      <c r="CK25" s="353"/>
      <c r="CL25" s="353"/>
      <c r="CM25" s="353"/>
      <c r="CN25" s="353"/>
      <c r="CO25" s="353"/>
      <c r="CP25" s="353"/>
      <c r="CQ25" s="353"/>
      <c r="CR25" s="353"/>
      <c r="CS25" s="353"/>
      <c r="CT25" s="353"/>
      <c r="CU25" s="353"/>
      <c r="CV25" s="353"/>
      <c r="CW25" s="353"/>
      <c r="CX25" s="353"/>
      <c r="CY25" s="353"/>
      <c r="CZ25" s="353"/>
      <c r="DA25" s="353"/>
      <c r="DB25" s="353"/>
      <c r="DC25" s="353"/>
      <c r="DD25" s="353"/>
      <c r="DE25" s="353"/>
      <c r="DF25" s="353"/>
      <c r="DG25" s="353"/>
      <c r="DH25" s="353"/>
      <c r="DI25" s="353"/>
      <c r="DJ25" s="353"/>
      <c r="DK25" s="353"/>
      <c r="DL25" s="353"/>
      <c r="DM25" s="353"/>
      <c r="DN25" s="353"/>
      <c r="DO25" s="353"/>
      <c r="DP25" s="353"/>
      <c r="DQ25" s="353"/>
      <c r="DR25" s="353"/>
      <c r="DS25" s="353"/>
      <c r="DT25" s="353"/>
      <c r="DU25" s="353"/>
      <c r="DV25" s="353"/>
      <c r="DW25" s="353"/>
      <c r="DX25" s="353"/>
      <c r="DY25" s="353"/>
      <c r="DZ25" s="353"/>
      <c r="EA25" s="353"/>
      <c r="EB25" s="353"/>
      <c r="EC25" s="353"/>
      <c r="ED25" s="353"/>
      <c r="EE25" s="353"/>
      <c r="EF25" s="353"/>
      <c r="EG25" s="353"/>
      <c r="EH25" s="353"/>
      <c r="EI25" s="353"/>
      <c r="EJ25" s="353"/>
      <c r="EK25" s="353"/>
      <c r="EL25" s="353"/>
      <c r="EM25" s="353"/>
      <c r="EN25" s="353"/>
      <c r="EO25" s="353"/>
      <c r="EP25" s="353"/>
      <c r="EQ25" s="353"/>
      <c r="ER25" s="353"/>
      <c r="ES25" s="353"/>
      <c r="ET25" s="353"/>
      <c r="EU25" s="353"/>
      <c r="EV25" s="353"/>
      <c r="EW25" s="353"/>
      <c r="EX25" s="353"/>
      <c r="EY25" s="353"/>
      <c r="EZ25" s="353"/>
      <c r="FA25" s="353"/>
      <c r="FB25" s="353"/>
      <c r="FC25" s="353"/>
      <c r="FD25" s="353"/>
      <c r="FE25" s="353"/>
      <c r="FF25" s="353"/>
      <c r="FG25" s="353"/>
      <c r="FH25" s="353"/>
      <c r="FI25" s="353"/>
      <c r="FJ25" s="353"/>
      <c r="FK25" s="353"/>
      <c r="FL25" s="353"/>
      <c r="FM25" s="353"/>
      <c r="FN25" s="353"/>
      <c r="FO25" s="353"/>
      <c r="FP25" s="353"/>
      <c r="FQ25" s="353"/>
      <c r="FR25" s="353"/>
      <c r="FS25" s="353"/>
      <c r="FT25" s="353"/>
      <c r="FU25" s="353"/>
      <c r="FV25" s="353"/>
      <c r="FW25" s="353"/>
      <c r="FX25" s="353"/>
      <c r="FY25" s="353"/>
      <c r="FZ25" s="353"/>
      <c r="GA25" s="353"/>
      <c r="GB25" s="353"/>
      <c r="GC25" s="353"/>
      <c r="GD25" s="353"/>
      <c r="GE25" s="353"/>
      <c r="GF25" s="353"/>
      <c r="GG25" s="353"/>
      <c r="GH25" s="353"/>
      <c r="GI25" s="353"/>
      <c r="GJ25" s="353"/>
      <c r="GK25" s="353"/>
      <c r="GL25" s="353"/>
      <c r="GM25" s="353"/>
      <c r="GN25" s="353"/>
      <c r="GO25" s="353"/>
      <c r="GP25" s="353"/>
      <c r="GQ25" s="353"/>
      <c r="GR25" s="353"/>
      <c r="GS25" s="353"/>
      <c r="GT25" s="353"/>
      <c r="GU25" s="353"/>
      <c r="GV25" s="353"/>
      <c r="GW25" s="353"/>
      <c r="GX25" s="353"/>
      <c r="GY25" s="353"/>
      <c r="GZ25" s="353"/>
      <c r="HA25" s="353"/>
      <c r="HB25" s="353"/>
      <c r="HC25" s="353"/>
      <c r="HD25" s="353"/>
      <c r="HE25" s="353"/>
      <c r="HF25" s="353"/>
      <c r="HG25" s="353"/>
      <c r="HH25" s="353"/>
      <c r="HI25" s="353"/>
      <c r="HJ25" s="353"/>
      <c r="HK25" s="353"/>
      <c r="HL25" s="353"/>
      <c r="HM25" s="353"/>
      <c r="HN25" s="353"/>
      <c r="HO25" s="353"/>
      <c r="HP25" s="353"/>
      <c r="HQ25" s="353"/>
      <c r="HR25" s="353"/>
      <c r="HS25" s="353"/>
      <c r="HT25" s="353"/>
      <c r="HU25" s="353"/>
      <c r="HV25" s="353"/>
      <c r="HW25" s="353"/>
      <c r="HX25" s="353"/>
      <c r="HY25" s="353"/>
      <c r="HZ25" s="353"/>
      <c r="IA25" s="353"/>
      <c r="IB25" s="353"/>
      <c r="IC25" s="353"/>
      <c r="ID25" s="353"/>
      <c r="IE25" s="353"/>
      <c r="IF25" s="353"/>
      <c r="IG25" s="353"/>
      <c r="IH25" s="353"/>
      <c r="II25" s="353"/>
      <c r="IJ25" s="353"/>
      <c r="IK25" s="353"/>
      <c r="IL25" s="353"/>
      <c r="IM25" s="353"/>
      <c r="IN25" s="353"/>
      <c r="IO25" s="353"/>
      <c r="IP25" s="353"/>
      <c r="IQ25" s="353"/>
      <c r="IR25" s="353"/>
      <c r="IS25" s="353"/>
      <c r="IT25" s="353"/>
      <c r="IU25" s="353"/>
      <c r="IV25" s="353"/>
    </row>
    <row r="27" spans="1:256" ht="12.75" x14ac:dyDescent="0.2">
      <c r="A27" s="354"/>
      <c r="B27" s="354"/>
      <c r="C27" s="354"/>
      <c r="D27" s="354"/>
      <c r="E27" s="354"/>
      <c r="F27" s="354"/>
      <c r="G27" s="354"/>
      <c r="H27" s="354"/>
      <c r="I27" s="354"/>
    </row>
    <row r="28" spans="1:256" ht="15" x14ac:dyDescent="0.25">
      <c r="A28" s="616"/>
      <c r="B28" s="617"/>
      <c r="C28" s="618"/>
      <c r="D28" s="618"/>
      <c r="E28" s="618"/>
      <c r="F28" s="618"/>
      <c r="G28" s="618"/>
      <c r="H28" s="619"/>
      <c r="I28" s="354"/>
    </row>
    <row r="29" spans="1:256" ht="15" x14ac:dyDescent="0.25">
      <c r="A29" s="354"/>
      <c r="B29" s="354"/>
      <c r="C29" s="354"/>
      <c r="D29" s="354"/>
      <c r="E29" s="354"/>
      <c r="F29" s="354"/>
      <c r="G29" s="354"/>
      <c r="H29" s="355"/>
    </row>
    <row r="30" spans="1:256" ht="15" x14ac:dyDescent="0.25">
      <c r="A30" s="616"/>
      <c r="B30" s="617"/>
      <c r="C30" s="618"/>
      <c r="D30" s="618"/>
      <c r="E30" s="618"/>
      <c r="F30" s="618"/>
      <c r="G30" s="618"/>
      <c r="H30" s="620"/>
    </row>
  </sheetData>
  <mergeCells count="24">
    <mergeCell ref="A28:H28"/>
    <mergeCell ref="A30:H30"/>
    <mergeCell ref="A22:F22"/>
    <mergeCell ref="A23:B23"/>
    <mergeCell ref="C23:F23"/>
    <mergeCell ref="A24:B24"/>
    <mergeCell ref="C24:F24"/>
    <mergeCell ref="A25:F25"/>
    <mergeCell ref="A21:F21"/>
    <mergeCell ref="A3:G4"/>
    <mergeCell ref="A5:G5"/>
    <mergeCell ref="A6:G6"/>
    <mergeCell ref="A7:A13"/>
    <mergeCell ref="B7:B13"/>
    <mergeCell ref="C7:C13"/>
    <mergeCell ref="D7:D13"/>
    <mergeCell ref="E7:E13"/>
    <mergeCell ref="F7:F13"/>
    <mergeCell ref="G7:G13"/>
    <mergeCell ref="A15:A17"/>
    <mergeCell ref="B15:G15"/>
    <mergeCell ref="A18:F18"/>
    <mergeCell ref="A19:A20"/>
    <mergeCell ref="B19:G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1C2ED-828E-4BB1-B717-D51E28C47229}">
  <dimension ref="A1:K34"/>
  <sheetViews>
    <sheetView tabSelected="1" topLeftCell="A25" workbookViewId="0">
      <selection activeCell="H26" sqref="H26"/>
    </sheetView>
  </sheetViews>
  <sheetFormatPr defaultRowHeight="15.75" x14ac:dyDescent="0.25"/>
  <cols>
    <col min="1" max="1" width="4.7109375" style="334" customWidth="1"/>
    <col min="2" max="2" width="35.42578125" style="335" customWidth="1"/>
    <col min="3" max="3" width="6.85546875" style="335" customWidth="1"/>
    <col min="4" max="4" width="24.7109375" style="336" customWidth="1"/>
    <col min="5" max="5" width="12.42578125" style="337" customWidth="1"/>
    <col min="6" max="6" width="8.5703125" style="335" customWidth="1"/>
    <col min="7" max="7" width="13.85546875" style="337" customWidth="1"/>
    <col min="8" max="8" width="45.140625" style="338" customWidth="1"/>
    <col min="9" max="9" width="9.140625" style="338"/>
    <col min="10" max="11" width="14.28515625" style="338" bestFit="1" customWidth="1"/>
    <col min="12" max="12" width="12" style="338" bestFit="1" customWidth="1"/>
    <col min="13" max="256" width="9.140625" style="338"/>
    <col min="257" max="257" width="4.7109375" style="338" customWidth="1"/>
    <col min="258" max="258" width="35.42578125" style="338" customWidth="1"/>
    <col min="259" max="259" width="6.85546875" style="338" customWidth="1"/>
    <col min="260" max="260" width="24.7109375" style="338" customWidth="1"/>
    <col min="261" max="261" width="12.42578125" style="338" customWidth="1"/>
    <col min="262" max="262" width="8.5703125" style="338" customWidth="1"/>
    <col min="263" max="263" width="13.85546875" style="338" customWidth="1"/>
    <col min="264" max="264" width="45.140625" style="338" customWidth="1"/>
    <col min="265" max="265" width="9.140625" style="338"/>
    <col min="266" max="267" width="14.28515625" style="338" bestFit="1" customWidth="1"/>
    <col min="268" max="268" width="12" style="338" bestFit="1" customWidth="1"/>
    <col min="269" max="512" width="9.140625" style="338"/>
    <col min="513" max="513" width="4.7109375" style="338" customWidth="1"/>
    <col min="514" max="514" width="35.42578125" style="338" customWidth="1"/>
    <col min="515" max="515" width="6.85546875" style="338" customWidth="1"/>
    <col min="516" max="516" width="24.7109375" style="338" customWidth="1"/>
    <col min="517" max="517" width="12.42578125" style="338" customWidth="1"/>
    <col min="518" max="518" width="8.5703125" style="338" customWidth="1"/>
    <col min="519" max="519" width="13.85546875" style="338" customWidth="1"/>
    <col min="520" max="520" width="45.140625" style="338" customWidth="1"/>
    <col min="521" max="521" width="9.140625" style="338"/>
    <col min="522" max="523" width="14.28515625" style="338" bestFit="1" customWidth="1"/>
    <col min="524" max="524" width="12" style="338" bestFit="1" customWidth="1"/>
    <col min="525" max="768" width="9.140625" style="338"/>
    <col min="769" max="769" width="4.7109375" style="338" customWidth="1"/>
    <col min="770" max="770" width="35.42578125" style="338" customWidth="1"/>
    <col min="771" max="771" width="6.85546875" style="338" customWidth="1"/>
    <col min="772" max="772" width="24.7109375" style="338" customWidth="1"/>
    <col min="773" max="773" width="12.42578125" style="338" customWidth="1"/>
    <col min="774" max="774" width="8.5703125" style="338" customWidth="1"/>
    <col min="775" max="775" width="13.85546875" style="338" customWidth="1"/>
    <col min="776" max="776" width="45.140625" style="338" customWidth="1"/>
    <col min="777" max="777" width="9.140625" style="338"/>
    <col min="778" max="779" width="14.28515625" style="338" bestFit="1" customWidth="1"/>
    <col min="780" max="780" width="12" style="338" bestFit="1" customWidth="1"/>
    <col min="781" max="1024" width="9.140625" style="338"/>
    <col min="1025" max="1025" width="4.7109375" style="338" customWidth="1"/>
    <col min="1026" max="1026" width="35.42578125" style="338" customWidth="1"/>
    <col min="1027" max="1027" width="6.85546875" style="338" customWidth="1"/>
    <col min="1028" max="1028" width="24.7109375" style="338" customWidth="1"/>
    <col min="1029" max="1029" width="12.42578125" style="338" customWidth="1"/>
    <col min="1030" max="1030" width="8.5703125" style="338" customWidth="1"/>
    <col min="1031" max="1031" width="13.85546875" style="338" customWidth="1"/>
    <col min="1032" max="1032" width="45.140625" style="338" customWidth="1"/>
    <col min="1033" max="1033" width="9.140625" style="338"/>
    <col min="1034" max="1035" width="14.28515625" style="338" bestFit="1" customWidth="1"/>
    <col min="1036" max="1036" width="12" style="338" bestFit="1" customWidth="1"/>
    <col min="1037" max="1280" width="9.140625" style="338"/>
    <col min="1281" max="1281" width="4.7109375" style="338" customWidth="1"/>
    <col min="1282" max="1282" width="35.42578125" style="338" customWidth="1"/>
    <col min="1283" max="1283" width="6.85546875" style="338" customWidth="1"/>
    <col min="1284" max="1284" width="24.7109375" style="338" customWidth="1"/>
    <col min="1285" max="1285" width="12.42578125" style="338" customWidth="1"/>
    <col min="1286" max="1286" width="8.5703125" style="338" customWidth="1"/>
    <col min="1287" max="1287" width="13.85546875" style="338" customWidth="1"/>
    <col min="1288" max="1288" width="45.140625" style="338" customWidth="1"/>
    <col min="1289" max="1289" width="9.140625" style="338"/>
    <col min="1290" max="1291" width="14.28515625" style="338" bestFit="1" customWidth="1"/>
    <col min="1292" max="1292" width="12" style="338" bestFit="1" customWidth="1"/>
    <col min="1293" max="1536" width="9.140625" style="338"/>
    <col min="1537" max="1537" width="4.7109375" style="338" customWidth="1"/>
    <col min="1538" max="1538" width="35.42578125" style="338" customWidth="1"/>
    <col min="1539" max="1539" width="6.85546875" style="338" customWidth="1"/>
    <col min="1540" max="1540" width="24.7109375" style="338" customWidth="1"/>
    <col min="1541" max="1541" width="12.42578125" style="338" customWidth="1"/>
    <col min="1542" max="1542" width="8.5703125" style="338" customWidth="1"/>
    <col min="1543" max="1543" width="13.85546875" style="338" customWidth="1"/>
    <col min="1544" max="1544" width="45.140625" style="338" customWidth="1"/>
    <col min="1545" max="1545" width="9.140625" style="338"/>
    <col min="1546" max="1547" width="14.28515625" style="338" bestFit="1" customWidth="1"/>
    <col min="1548" max="1548" width="12" style="338" bestFit="1" customWidth="1"/>
    <col min="1549" max="1792" width="9.140625" style="338"/>
    <col min="1793" max="1793" width="4.7109375" style="338" customWidth="1"/>
    <col min="1794" max="1794" width="35.42578125" style="338" customWidth="1"/>
    <col min="1795" max="1795" width="6.85546875" style="338" customWidth="1"/>
    <col min="1796" max="1796" width="24.7109375" style="338" customWidth="1"/>
    <col min="1797" max="1797" width="12.42578125" style="338" customWidth="1"/>
    <col min="1798" max="1798" width="8.5703125" style="338" customWidth="1"/>
    <col min="1799" max="1799" width="13.85546875" style="338" customWidth="1"/>
    <col min="1800" max="1800" width="45.140625" style="338" customWidth="1"/>
    <col min="1801" max="1801" width="9.140625" style="338"/>
    <col min="1802" max="1803" width="14.28515625" style="338" bestFit="1" customWidth="1"/>
    <col min="1804" max="1804" width="12" style="338" bestFit="1" customWidth="1"/>
    <col min="1805" max="2048" width="9.140625" style="338"/>
    <col min="2049" max="2049" width="4.7109375" style="338" customWidth="1"/>
    <col min="2050" max="2050" width="35.42578125" style="338" customWidth="1"/>
    <col min="2051" max="2051" width="6.85546875" style="338" customWidth="1"/>
    <col min="2052" max="2052" width="24.7109375" style="338" customWidth="1"/>
    <col min="2053" max="2053" width="12.42578125" style="338" customWidth="1"/>
    <col min="2054" max="2054" width="8.5703125" style="338" customWidth="1"/>
    <col min="2055" max="2055" width="13.85546875" style="338" customWidth="1"/>
    <col min="2056" max="2056" width="45.140625" style="338" customWidth="1"/>
    <col min="2057" max="2057" width="9.140625" style="338"/>
    <col min="2058" max="2059" width="14.28515625" style="338" bestFit="1" customWidth="1"/>
    <col min="2060" max="2060" width="12" style="338" bestFit="1" customWidth="1"/>
    <col min="2061" max="2304" width="9.140625" style="338"/>
    <col min="2305" max="2305" width="4.7109375" style="338" customWidth="1"/>
    <col min="2306" max="2306" width="35.42578125" style="338" customWidth="1"/>
    <col min="2307" max="2307" width="6.85546875" style="338" customWidth="1"/>
    <col min="2308" max="2308" width="24.7109375" style="338" customWidth="1"/>
    <col min="2309" max="2309" width="12.42578125" style="338" customWidth="1"/>
    <col min="2310" max="2310" width="8.5703125" style="338" customWidth="1"/>
    <col min="2311" max="2311" width="13.85546875" style="338" customWidth="1"/>
    <col min="2312" max="2312" width="45.140625" style="338" customWidth="1"/>
    <col min="2313" max="2313" width="9.140625" style="338"/>
    <col min="2314" max="2315" width="14.28515625" style="338" bestFit="1" customWidth="1"/>
    <col min="2316" max="2316" width="12" style="338" bestFit="1" customWidth="1"/>
    <col min="2317" max="2560" width="9.140625" style="338"/>
    <col min="2561" max="2561" width="4.7109375" style="338" customWidth="1"/>
    <col min="2562" max="2562" width="35.42578125" style="338" customWidth="1"/>
    <col min="2563" max="2563" width="6.85546875" style="338" customWidth="1"/>
    <col min="2564" max="2564" width="24.7109375" style="338" customWidth="1"/>
    <col min="2565" max="2565" width="12.42578125" style="338" customWidth="1"/>
    <col min="2566" max="2566" width="8.5703125" style="338" customWidth="1"/>
    <col min="2567" max="2567" width="13.85546875" style="338" customWidth="1"/>
    <col min="2568" max="2568" width="45.140625" style="338" customWidth="1"/>
    <col min="2569" max="2569" width="9.140625" style="338"/>
    <col min="2570" max="2571" width="14.28515625" style="338" bestFit="1" customWidth="1"/>
    <col min="2572" max="2572" width="12" style="338" bestFit="1" customWidth="1"/>
    <col min="2573" max="2816" width="9.140625" style="338"/>
    <col min="2817" max="2817" width="4.7109375" style="338" customWidth="1"/>
    <col min="2818" max="2818" width="35.42578125" style="338" customWidth="1"/>
    <col min="2819" max="2819" width="6.85546875" style="338" customWidth="1"/>
    <col min="2820" max="2820" width="24.7109375" style="338" customWidth="1"/>
    <col min="2821" max="2821" width="12.42578125" style="338" customWidth="1"/>
    <col min="2822" max="2822" width="8.5703125" style="338" customWidth="1"/>
    <col min="2823" max="2823" width="13.85546875" style="338" customWidth="1"/>
    <col min="2824" max="2824" width="45.140625" style="338" customWidth="1"/>
    <col min="2825" max="2825" width="9.140625" style="338"/>
    <col min="2826" max="2827" width="14.28515625" style="338" bestFit="1" customWidth="1"/>
    <col min="2828" max="2828" width="12" style="338" bestFit="1" customWidth="1"/>
    <col min="2829" max="3072" width="9.140625" style="338"/>
    <col min="3073" max="3073" width="4.7109375" style="338" customWidth="1"/>
    <col min="3074" max="3074" width="35.42578125" style="338" customWidth="1"/>
    <col min="3075" max="3075" width="6.85546875" style="338" customWidth="1"/>
    <col min="3076" max="3076" width="24.7109375" style="338" customWidth="1"/>
    <col min="3077" max="3077" width="12.42578125" style="338" customWidth="1"/>
    <col min="3078" max="3078" width="8.5703125" style="338" customWidth="1"/>
    <col min="3079" max="3079" width="13.85546875" style="338" customWidth="1"/>
    <col min="3080" max="3080" width="45.140625" style="338" customWidth="1"/>
    <col min="3081" max="3081" width="9.140625" style="338"/>
    <col min="3082" max="3083" width="14.28515625" style="338" bestFit="1" customWidth="1"/>
    <col min="3084" max="3084" width="12" style="338" bestFit="1" customWidth="1"/>
    <col min="3085" max="3328" width="9.140625" style="338"/>
    <col min="3329" max="3329" width="4.7109375" style="338" customWidth="1"/>
    <col min="3330" max="3330" width="35.42578125" style="338" customWidth="1"/>
    <col min="3331" max="3331" width="6.85546875" style="338" customWidth="1"/>
    <col min="3332" max="3332" width="24.7109375" style="338" customWidth="1"/>
    <col min="3333" max="3333" width="12.42578125" style="338" customWidth="1"/>
    <col min="3334" max="3334" width="8.5703125" style="338" customWidth="1"/>
    <col min="3335" max="3335" width="13.85546875" style="338" customWidth="1"/>
    <col min="3336" max="3336" width="45.140625" style="338" customWidth="1"/>
    <col min="3337" max="3337" width="9.140625" style="338"/>
    <col min="3338" max="3339" width="14.28515625" style="338" bestFit="1" customWidth="1"/>
    <col min="3340" max="3340" width="12" style="338" bestFit="1" customWidth="1"/>
    <col min="3341" max="3584" width="9.140625" style="338"/>
    <col min="3585" max="3585" width="4.7109375" style="338" customWidth="1"/>
    <col min="3586" max="3586" width="35.42578125" style="338" customWidth="1"/>
    <col min="3587" max="3587" width="6.85546875" style="338" customWidth="1"/>
    <col min="3588" max="3588" width="24.7109375" style="338" customWidth="1"/>
    <col min="3589" max="3589" width="12.42578125" style="338" customWidth="1"/>
    <col min="3590" max="3590" width="8.5703125" style="338" customWidth="1"/>
    <col min="3591" max="3591" width="13.85546875" style="338" customWidth="1"/>
    <col min="3592" max="3592" width="45.140625" style="338" customWidth="1"/>
    <col min="3593" max="3593" width="9.140625" style="338"/>
    <col min="3594" max="3595" width="14.28515625" style="338" bestFit="1" customWidth="1"/>
    <col min="3596" max="3596" width="12" style="338" bestFit="1" customWidth="1"/>
    <col min="3597" max="3840" width="9.140625" style="338"/>
    <col min="3841" max="3841" width="4.7109375" style="338" customWidth="1"/>
    <col min="3842" max="3842" width="35.42578125" style="338" customWidth="1"/>
    <col min="3843" max="3843" width="6.85546875" style="338" customWidth="1"/>
    <col min="3844" max="3844" width="24.7109375" style="338" customWidth="1"/>
    <col min="3845" max="3845" width="12.42578125" style="338" customWidth="1"/>
    <col min="3846" max="3846" width="8.5703125" style="338" customWidth="1"/>
    <col min="3847" max="3847" width="13.85546875" style="338" customWidth="1"/>
    <col min="3848" max="3848" width="45.140625" style="338" customWidth="1"/>
    <col min="3849" max="3849" width="9.140625" style="338"/>
    <col min="3850" max="3851" width="14.28515625" style="338" bestFit="1" customWidth="1"/>
    <col min="3852" max="3852" width="12" style="338" bestFit="1" customWidth="1"/>
    <col min="3853" max="4096" width="9.140625" style="338"/>
    <col min="4097" max="4097" width="4.7109375" style="338" customWidth="1"/>
    <col min="4098" max="4098" width="35.42578125" style="338" customWidth="1"/>
    <col min="4099" max="4099" width="6.85546875" style="338" customWidth="1"/>
    <col min="4100" max="4100" width="24.7109375" style="338" customWidth="1"/>
    <col min="4101" max="4101" width="12.42578125" style="338" customWidth="1"/>
    <col min="4102" max="4102" width="8.5703125" style="338" customWidth="1"/>
    <col min="4103" max="4103" width="13.85546875" style="338" customWidth="1"/>
    <col min="4104" max="4104" width="45.140625" style="338" customWidth="1"/>
    <col min="4105" max="4105" width="9.140625" style="338"/>
    <col min="4106" max="4107" width="14.28515625" style="338" bestFit="1" customWidth="1"/>
    <col min="4108" max="4108" width="12" style="338" bestFit="1" customWidth="1"/>
    <col min="4109" max="4352" width="9.140625" style="338"/>
    <col min="4353" max="4353" width="4.7109375" style="338" customWidth="1"/>
    <col min="4354" max="4354" width="35.42578125" style="338" customWidth="1"/>
    <col min="4355" max="4355" width="6.85546875" style="338" customWidth="1"/>
    <col min="4356" max="4356" width="24.7109375" style="338" customWidth="1"/>
    <col min="4357" max="4357" width="12.42578125" style="338" customWidth="1"/>
    <col min="4358" max="4358" width="8.5703125" style="338" customWidth="1"/>
    <col min="4359" max="4359" width="13.85546875" style="338" customWidth="1"/>
    <col min="4360" max="4360" width="45.140625" style="338" customWidth="1"/>
    <col min="4361" max="4361" width="9.140625" style="338"/>
    <col min="4362" max="4363" width="14.28515625" style="338" bestFit="1" customWidth="1"/>
    <col min="4364" max="4364" width="12" style="338" bestFit="1" customWidth="1"/>
    <col min="4365" max="4608" width="9.140625" style="338"/>
    <col min="4609" max="4609" width="4.7109375" style="338" customWidth="1"/>
    <col min="4610" max="4610" width="35.42578125" style="338" customWidth="1"/>
    <col min="4611" max="4611" width="6.85546875" style="338" customWidth="1"/>
    <col min="4612" max="4612" width="24.7109375" style="338" customWidth="1"/>
    <col min="4613" max="4613" width="12.42578125" style="338" customWidth="1"/>
    <col min="4614" max="4614" width="8.5703125" style="338" customWidth="1"/>
    <col min="4615" max="4615" width="13.85546875" style="338" customWidth="1"/>
    <col min="4616" max="4616" width="45.140625" style="338" customWidth="1"/>
    <col min="4617" max="4617" width="9.140625" style="338"/>
    <col min="4618" max="4619" width="14.28515625" style="338" bestFit="1" customWidth="1"/>
    <col min="4620" max="4620" width="12" style="338" bestFit="1" customWidth="1"/>
    <col min="4621" max="4864" width="9.140625" style="338"/>
    <col min="4865" max="4865" width="4.7109375" style="338" customWidth="1"/>
    <col min="4866" max="4866" width="35.42578125" style="338" customWidth="1"/>
    <col min="4867" max="4867" width="6.85546875" style="338" customWidth="1"/>
    <col min="4868" max="4868" width="24.7109375" style="338" customWidth="1"/>
    <col min="4869" max="4869" width="12.42578125" style="338" customWidth="1"/>
    <col min="4870" max="4870" width="8.5703125" style="338" customWidth="1"/>
    <col min="4871" max="4871" width="13.85546875" style="338" customWidth="1"/>
    <col min="4872" max="4872" width="45.140625" style="338" customWidth="1"/>
    <col min="4873" max="4873" width="9.140625" style="338"/>
    <col min="4874" max="4875" width="14.28515625" style="338" bestFit="1" customWidth="1"/>
    <col min="4876" max="4876" width="12" style="338" bestFit="1" customWidth="1"/>
    <col min="4877" max="5120" width="9.140625" style="338"/>
    <col min="5121" max="5121" width="4.7109375" style="338" customWidth="1"/>
    <col min="5122" max="5122" width="35.42578125" style="338" customWidth="1"/>
    <col min="5123" max="5123" width="6.85546875" style="338" customWidth="1"/>
    <col min="5124" max="5124" width="24.7109375" style="338" customWidth="1"/>
    <col min="5125" max="5125" width="12.42578125" style="338" customWidth="1"/>
    <col min="5126" max="5126" width="8.5703125" style="338" customWidth="1"/>
    <col min="5127" max="5127" width="13.85546875" style="338" customWidth="1"/>
    <col min="5128" max="5128" width="45.140625" style="338" customWidth="1"/>
    <col min="5129" max="5129" width="9.140625" style="338"/>
    <col min="5130" max="5131" width="14.28515625" style="338" bestFit="1" customWidth="1"/>
    <col min="5132" max="5132" width="12" style="338" bestFit="1" customWidth="1"/>
    <col min="5133" max="5376" width="9.140625" style="338"/>
    <col min="5377" max="5377" width="4.7109375" style="338" customWidth="1"/>
    <col min="5378" max="5378" width="35.42578125" style="338" customWidth="1"/>
    <col min="5379" max="5379" width="6.85546875" style="338" customWidth="1"/>
    <col min="5380" max="5380" width="24.7109375" style="338" customWidth="1"/>
    <col min="5381" max="5381" width="12.42578125" style="338" customWidth="1"/>
    <col min="5382" max="5382" width="8.5703125" style="338" customWidth="1"/>
    <col min="5383" max="5383" width="13.85546875" style="338" customWidth="1"/>
    <col min="5384" max="5384" width="45.140625" style="338" customWidth="1"/>
    <col min="5385" max="5385" width="9.140625" style="338"/>
    <col min="5386" max="5387" width="14.28515625" style="338" bestFit="1" customWidth="1"/>
    <col min="5388" max="5388" width="12" style="338" bestFit="1" customWidth="1"/>
    <col min="5389" max="5632" width="9.140625" style="338"/>
    <col min="5633" max="5633" width="4.7109375" style="338" customWidth="1"/>
    <col min="5634" max="5634" width="35.42578125" style="338" customWidth="1"/>
    <col min="5635" max="5635" width="6.85546875" style="338" customWidth="1"/>
    <col min="5636" max="5636" width="24.7109375" style="338" customWidth="1"/>
    <col min="5637" max="5637" width="12.42578125" style="338" customWidth="1"/>
    <col min="5638" max="5638" width="8.5703125" style="338" customWidth="1"/>
    <col min="5639" max="5639" width="13.85546875" style="338" customWidth="1"/>
    <col min="5640" max="5640" width="45.140625" style="338" customWidth="1"/>
    <col min="5641" max="5641" width="9.140625" style="338"/>
    <col min="5642" max="5643" width="14.28515625" style="338" bestFit="1" customWidth="1"/>
    <col min="5644" max="5644" width="12" style="338" bestFit="1" customWidth="1"/>
    <col min="5645" max="5888" width="9.140625" style="338"/>
    <col min="5889" max="5889" width="4.7109375" style="338" customWidth="1"/>
    <col min="5890" max="5890" width="35.42578125" style="338" customWidth="1"/>
    <col min="5891" max="5891" width="6.85546875" style="338" customWidth="1"/>
    <col min="5892" max="5892" width="24.7109375" style="338" customWidth="1"/>
    <col min="5893" max="5893" width="12.42578125" style="338" customWidth="1"/>
    <col min="5894" max="5894" width="8.5703125" style="338" customWidth="1"/>
    <col min="5895" max="5895" width="13.85546875" style="338" customWidth="1"/>
    <col min="5896" max="5896" width="45.140625" style="338" customWidth="1"/>
    <col min="5897" max="5897" width="9.140625" style="338"/>
    <col min="5898" max="5899" width="14.28515625" style="338" bestFit="1" customWidth="1"/>
    <col min="5900" max="5900" width="12" style="338" bestFit="1" customWidth="1"/>
    <col min="5901" max="6144" width="9.140625" style="338"/>
    <col min="6145" max="6145" width="4.7109375" style="338" customWidth="1"/>
    <col min="6146" max="6146" width="35.42578125" style="338" customWidth="1"/>
    <col min="6147" max="6147" width="6.85546875" style="338" customWidth="1"/>
    <col min="6148" max="6148" width="24.7109375" style="338" customWidth="1"/>
    <col min="6149" max="6149" width="12.42578125" style="338" customWidth="1"/>
    <col min="6150" max="6150" width="8.5703125" style="338" customWidth="1"/>
    <col min="6151" max="6151" width="13.85546875" style="338" customWidth="1"/>
    <col min="6152" max="6152" width="45.140625" style="338" customWidth="1"/>
    <col min="6153" max="6153" width="9.140625" style="338"/>
    <col min="6154" max="6155" width="14.28515625" style="338" bestFit="1" customWidth="1"/>
    <col min="6156" max="6156" width="12" style="338" bestFit="1" customWidth="1"/>
    <col min="6157" max="6400" width="9.140625" style="338"/>
    <col min="6401" max="6401" width="4.7109375" style="338" customWidth="1"/>
    <col min="6402" max="6402" width="35.42578125" style="338" customWidth="1"/>
    <col min="6403" max="6403" width="6.85546875" style="338" customWidth="1"/>
    <col min="6404" max="6404" width="24.7109375" style="338" customWidth="1"/>
    <col min="6405" max="6405" width="12.42578125" style="338" customWidth="1"/>
    <col min="6406" max="6406" width="8.5703125" style="338" customWidth="1"/>
    <col min="6407" max="6407" width="13.85546875" style="338" customWidth="1"/>
    <col min="6408" max="6408" width="45.140625" style="338" customWidth="1"/>
    <col min="6409" max="6409" width="9.140625" style="338"/>
    <col min="6410" max="6411" width="14.28515625" style="338" bestFit="1" customWidth="1"/>
    <col min="6412" max="6412" width="12" style="338" bestFit="1" customWidth="1"/>
    <col min="6413" max="6656" width="9.140625" style="338"/>
    <col min="6657" max="6657" width="4.7109375" style="338" customWidth="1"/>
    <col min="6658" max="6658" width="35.42578125" style="338" customWidth="1"/>
    <col min="6659" max="6659" width="6.85546875" style="338" customWidth="1"/>
    <col min="6660" max="6660" width="24.7109375" style="338" customWidth="1"/>
    <col min="6661" max="6661" width="12.42578125" style="338" customWidth="1"/>
    <col min="6662" max="6662" width="8.5703125" style="338" customWidth="1"/>
    <col min="6663" max="6663" width="13.85546875" style="338" customWidth="1"/>
    <col min="6664" max="6664" width="45.140625" style="338" customWidth="1"/>
    <col min="6665" max="6665" width="9.140625" style="338"/>
    <col min="6666" max="6667" width="14.28515625" style="338" bestFit="1" customWidth="1"/>
    <col min="6668" max="6668" width="12" style="338" bestFit="1" customWidth="1"/>
    <col min="6669" max="6912" width="9.140625" style="338"/>
    <col min="6913" max="6913" width="4.7109375" style="338" customWidth="1"/>
    <col min="6914" max="6914" width="35.42578125" style="338" customWidth="1"/>
    <col min="6915" max="6915" width="6.85546875" style="338" customWidth="1"/>
    <col min="6916" max="6916" width="24.7109375" style="338" customWidth="1"/>
    <col min="6917" max="6917" width="12.42578125" style="338" customWidth="1"/>
    <col min="6918" max="6918" width="8.5703125" style="338" customWidth="1"/>
    <col min="6919" max="6919" width="13.85546875" style="338" customWidth="1"/>
    <col min="6920" max="6920" width="45.140625" style="338" customWidth="1"/>
    <col min="6921" max="6921" width="9.140625" style="338"/>
    <col min="6922" max="6923" width="14.28515625" style="338" bestFit="1" customWidth="1"/>
    <col min="6924" max="6924" width="12" style="338" bestFit="1" customWidth="1"/>
    <col min="6925" max="7168" width="9.140625" style="338"/>
    <col min="7169" max="7169" width="4.7109375" style="338" customWidth="1"/>
    <col min="7170" max="7170" width="35.42578125" style="338" customWidth="1"/>
    <col min="7171" max="7171" width="6.85546875" style="338" customWidth="1"/>
    <col min="7172" max="7172" width="24.7109375" style="338" customWidth="1"/>
    <col min="7173" max="7173" width="12.42578125" style="338" customWidth="1"/>
    <col min="7174" max="7174" width="8.5703125" style="338" customWidth="1"/>
    <col min="7175" max="7175" width="13.85546875" style="338" customWidth="1"/>
    <col min="7176" max="7176" width="45.140625" style="338" customWidth="1"/>
    <col min="7177" max="7177" width="9.140625" style="338"/>
    <col min="7178" max="7179" width="14.28515625" style="338" bestFit="1" customWidth="1"/>
    <col min="7180" max="7180" width="12" style="338" bestFit="1" customWidth="1"/>
    <col min="7181" max="7424" width="9.140625" style="338"/>
    <col min="7425" max="7425" width="4.7109375" style="338" customWidth="1"/>
    <col min="7426" max="7426" width="35.42578125" style="338" customWidth="1"/>
    <col min="7427" max="7427" width="6.85546875" style="338" customWidth="1"/>
    <col min="7428" max="7428" width="24.7109375" style="338" customWidth="1"/>
    <col min="7429" max="7429" width="12.42578125" style="338" customWidth="1"/>
    <col min="7430" max="7430" width="8.5703125" style="338" customWidth="1"/>
    <col min="7431" max="7431" width="13.85546875" style="338" customWidth="1"/>
    <col min="7432" max="7432" width="45.140625" style="338" customWidth="1"/>
    <col min="7433" max="7433" width="9.140625" style="338"/>
    <col min="7434" max="7435" width="14.28515625" style="338" bestFit="1" customWidth="1"/>
    <col min="7436" max="7436" width="12" style="338" bestFit="1" customWidth="1"/>
    <col min="7437" max="7680" width="9.140625" style="338"/>
    <col min="7681" max="7681" width="4.7109375" style="338" customWidth="1"/>
    <col min="7682" max="7682" width="35.42578125" style="338" customWidth="1"/>
    <col min="7683" max="7683" width="6.85546875" style="338" customWidth="1"/>
    <col min="7684" max="7684" width="24.7109375" style="338" customWidth="1"/>
    <col min="7685" max="7685" width="12.42578125" style="338" customWidth="1"/>
    <col min="7686" max="7686" width="8.5703125" style="338" customWidth="1"/>
    <col min="7687" max="7687" width="13.85546875" style="338" customWidth="1"/>
    <col min="7688" max="7688" width="45.140625" style="338" customWidth="1"/>
    <col min="7689" max="7689" width="9.140625" style="338"/>
    <col min="7690" max="7691" width="14.28515625" style="338" bestFit="1" customWidth="1"/>
    <col min="7692" max="7692" width="12" style="338" bestFit="1" customWidth="1"/>
    <col min="7693" max="7936" width="9.140625" style="338"/>
    <col min="7937" max="7937" width="4.7109375" style="338" customWidth="1"/>
    <col min="7938" max="7938" width="35.42578125" style="338" customWidth="1"/>
    <col min="7939" max="7939" width="6.85546875" style="338" customWidth="1"/>
    <col min="7940" max="7940" width="24.7109375" style="338" customWidth="1"/>
    <col min="7941" max="7941" width="12.42578125" style="338" customWidth="1"/>
    <col min="7942" max="7942" width="8.5703125" style="338" customWidth="1"/>
    <col min="7943" max="7943" width="13.85546875" style="338" customWidth="1"/>
    <col min="7944" max="7944" width="45.140625" style="338" customWidth="1"/>
    <col min="7945" max="7945" width="9.140625" style="338"/>
    <col min="7946" max="7947" width="14.28515625" style="338" bestFit="1" customWidth="1"/>
    <col min="7948" max="7948" width="12" style="338" bestFit="1" customWidth="1"/>
    <col min="7949" max="8192" width="9.140625" style="338"/>
    <col min="8193" max="8193" width="4.7109375" style="338" customWidth="1"/>
    <col min="8194" max="8194" width="35.42578125" style="338" customWidth="1"/>
    <col min="8195" max="8195" width="6.85546875" style="338" customWidth="1"/>
    <col min="8196" max="8196" width="24.7109375" style="338" customWidth="1"/>
    <col min="8197" max="8197" width="12.42578125" style="338" customWidth="1"/>
    <col min="8198" max="8198" width="8.5703125" style="338" customWidth="1"/>
    <col min="8199" max="8199" width="13.85546875" style="338" customWidth="1"/>
    <col min="8200" max="8200" width="45.140625" style="338" customWidth="1"/>
    <col min="8201" max="8201" width="9.140625" style="338"/>
    <col min="8202" max="8203" width="14.28515625" style="338" bestFit="1" customWidth="1"/>
    <col min="8204" max="8204" width="12" style="338" bestFit="1" customWidth="1"/>
    <col min="8205" max="8448" width="9.140625" style="338"/>
    <col min="8449" max="8449" width="4.7109375" style="338" customWidth="1"/>
    <col min="8450" max="8450" width="35.42578125" style="338" customWidth="1"/>
    <col min="8451" max="8451" width="6.85546875" style="338" customWidth="1"/>
    <col min="8452" max="8452" width="24.7109375" style="338" customWidth="1"/>
    <col min="8453" max="8453" width="12.42578125" style="338" customWidth="1"/>
    <col min="8454" max="8454" width="8.5703125" style="338" customWidth="1"/>
    <col min="8455" max="8455" width="13.85546875" style="338" customWidth="1"/>
    <col min="8456" max="8456" width="45.140625" style="338" customWidth="1"/>
    <col min="8457" max="8457" width="9.140625" style="338"/>
    <col min="8458" max="8459" width="14.28515625" style="338" bestFit="1" customWidth="1"/>
    <col min="8460" max="8460" width="12" style="338" bestFit="1" customWidth="1"/>
    <col min="8461" max="8704" width="9.140625" style="338"/>
    <col min="8705" max="8705" width="4.7109375" style="338" customWidth="1"/>
    <col min="8706" max="8706" width="35.42578125" style="338" customWidth="1"/>
    <col min="8707" max="8707" width="6.85546875" style="338" customWidth="1"/>
    <col min="8708" max="8708" width="24.7109375" style="338" customWidth="1"/>
    <col min="8709" max="8709" width="12.42578125" style="338" customWidth="1"/>
    <col min="8710" max="8710" width="8.5703125" style="338" customWidth="1"/>
    <col min="8711" max="8711" width="13.85546875" style="338" customWidth="1"/>
    <col min="8712" max="8712" width="45.140625" style="338" customWidth="1"/>
    <col min="8713" max="8713" width="9.140625" style="338"/>
    <col min="8714" max="8715" width="14.28515625" style="338" bestFit="1" customWidth="1"/>
    <col min="8716" max="8716" width="12" style="338" bestFit="1" customWidth="1"/>
    <col min="8717" max="8960" width="9.140625" style="338"/>
    <col min="8961" max="8961" width="4.7109375" style="338" customWidth="1"/>
    <col min="8962" max="8962" width="35.42578125" style="338" customWidth="1"/>
    <col min="8963" max="8963" width="6.85546875" style="338" customWidth="1"/>
    <col min="8964" max="8964" width="24.7109375" style="338" customWidth="1"/>
    <col min="8965" max="8965" width="12.42578125" style="338" customWidth="1"/>
    <col min="8966" max="8966" width="8.5703125" style="338" customWidth="1"/>
    <col min="8967" max="8967" width="13.85546875" style="338" customWidth="1"/>
    <col min="8968" max="8968" width="45.140625" style="338" customWidth="1"/>
    <col min="8969" max="8969" width="9.140625" style="338"/>
    <col min="8970" max="8971" width="14.28515625" style="338" bestFit="1" customWidth="1"/>
    <col min="8972" max="8972" width="12" style="338" bestFit="1" customWidth="1"/>
    <col min="8973" max="9216" width="9.140625" style="338"/>
    <col min="9217" max="9217" width="4.7109375" style="338" customWidth="1"/>
    <col min="9218" max="9218" width="35.42578125" style="338" customWidth="1"/>
    <col min="9219" max="9219" width="6.85546875" style="338" customWidth="1"/>
    <col min="9220" max="9220" width="24.7109375" style="338" customWidth="1"/>
    <col min="9221" max="9221" width="12.42578125" style="338" customWidth="1"/>
    <col min="9222" max="9222" width="8.5703125" style="338" customWidth="1"/>
    <col min="9223" max="9223" width="13.85546875" style="338" customWidth="1"/>
    <col min="9224" max="9224" width="45.140625" style="338" customWidth="1"/>
    <col min="9225" max="9225" width="9.140625" style="338"/>
    <col min="9226" max="9227" width="14.28515625" style="338" bestFit="1" customWidth="1"/>
    <col min="9228" max="9228" width="12" style="338" bestFit="1" customWidth="1"/>
    <col min="9229" max="9472" width="9.140625" style="338"/>
    <col min="9473" max="9473" width="4.7109375" style="338" customWidth="1"/>
    <col min="9474" max="9474" width="35.42578125" style="338" customWidth="1"/>
    <col min="9475" max="9475" width="6.85546875" style="338" customWidth="1"/>
    <col min="9476" max="9476" width="24.7109375" style="338" customWidth="1"/>
    <col min="9477" max="9477" width="12.42578125" style="338" customWidth="1"/>
    <col min="9478" max="9478" width="8.5703125" style="338" customWidth="1"/>
    <col min="9479" max="9479" width="13.85546875" style="338" customWidth="1"/>
    <col min="9480" max="9480" width="45.140625" style="338" customWidth="1"/>
    <col min="9481" max="9481" width="9.140625" style="338"/>
    <col min="9482" max="9483" width="14.28515625" style="338" bestFit="1" customWidth="1"/>
    <col min="9484" max="9484" width="12" style="338" bestFit="1" customWidth="1"/>
    <col min="9485" max="9728" width="9.140625" style="338"/>
    <col min="9729" max="9729" width="4.7109375" style="338" customWidth="1"/>
    <col min="9730" max="9730" width="35.42578125" style="338" customWidth="1"/>
    <col min="9731" max="9731" width="6.85546875" style="338" customWidth="1"/>
    <col min="9732" max="9732" width="24.7109375" style="338" customWidth="1"/>
    <col min="9733" max="9733" width="12.42578125" style="338" customWidth="1"/>
    <col min="9734" max="9734" width="8.5703125" style="338" customWidth="1"/>
    <col min="9735" max="9735" width="13.85546875" style="338" customWidth="1"/>
    <col min="9736" max="9736" width="45.140625" style="338" customWidth="1"/>
    <col min="9737" max="9737" width="9.140625" style="338"/>
    <col min="9738" max="9739" width="14.28515625" style="338" bestFit="1" customWidth="1"/>
    <col min="9740" max="9740" width="12" style="338" bestFit="1" customWidth="1"/>
    <col min="9741" max="9984" width="9.140625" style="338"/>
    <col min="9985" max="9985" width="4.7109375" style="338" customWidth="1"/>
    <col min="9986" max="9986" width="35.42578125" style="338" customWidth="1"/>
    <col min="9987" max="9987" width="6.85546875" style="338" customWidth="1"/>
    <col min="9988" max="9988" width="24.7109375" style="338" customWidth="1"/>
    <col min="9989" max="9989" width="12.42578125" style="338" customWidth="1"/>
    <col min="9990" max="9990" width="8.5703125" style="338" customWidth="1"/>
    <col min="9991" max="9991" width="13.85546875" style="338" customWidth="1"/>
    <col min="9992" max="9992" width="45.140625" style="338" customWidth="1"/>
    <col min="9993" max="9993" width="9.140625" style="338"/>
    <col min="9994" max="9995" width="14.28515625" style="338" bestFit="1" customWidth="1"/>
    <col min="9996" max="9996" width="12" style="338" bestFit="1" customWidth="1"/>
    <col min="9997" max="10240" width="9.140625" style="338"/>
    <col min="10241" max="10241" width="4.7109375" style="338" customWidth="1"/>
    <col min="10242" max="10242" width="35.42578125" style="338" customWidth="1"/>
    <col min="10243" max="10243" width="6.85546875" style="338" customWidth="1"/>
    <col min="10244" max="10244" width="24.7109375" style="338" customWidth="1"/>
    <col min="10245" max="10245" width="12.42578125" style="338" customWidth="1"/>
    <col min="10246" max="10246" width="8.5703125" style="338" customWidth="1"/>
    <col min="10247" max="10247" width="13.85546875" style="338" customWidth="1"/>
    <col min="10248" max="10248" width="45.140625" style="338" customWidth="1"/>
    <col min="10249" max="10249" width="9.140625" style="338"/>
    <col min="10250" max="10251" width="14.28515625" style="338" bestFit="1" customWidth="1"/>
    <col min="10252" max="10252" width="12" style="338" bestFit="1" customWidth="1"/>
    <col min="10253" max="10496" width="9.140625" style="338"/>
    <col min="10497" max="10497" width="4.7109375" style="338" customWidth="1"/>
    <col min="10498" max="10498" width="35.42578125" style="338" customWidth="1"/>
    <col min="10499" max="10499" width="6.85546875" style="338" customWidth="1"/>
    <col min="10500" max="10500" width="24.7109375" style="338" customWidth="1"/>
    <col min="10501" max="10501" width="12.42578125" style="338" customWidth="1"/>
    <col min="10502" max="10502" width="8.5703125" style="338" customWidth="1"/>
    <col min="10503" max="10503" width="13.85546875" style="338" customWidth="1"/>
    <col min="10504" max="10504" width="45.140625" style="338" customWidth="1"/>
    <col min="10505" max="10505" width="9.140625" style="338"/>
    <col min="10506" max="10507" width="14.28515625" style="338" bestFit="1" customWidth="1"/>
    <col min="10508" max="10508" width="12" style="338" bestFit="1" customWidth="1"/>
    <col min="10509" max="10752" width="9.140625" style="338"/>
    <col min="10753" max="10753" width="4.7109375" style="338" customWidth="1"/>
    <col min="10754" max="10754" width="35.42578125" style="338" customWidth="1"/>
    <col min="10755" max="10755" width="6.85546875" style="338" customWidth="1"/>
    <col min="10756" max="10756" width="24.7109375" style="338" customWidth="1"/>
    <col min="10757" max="10757" width="12.42578125" style="338" customWidth="1"/>
    <col min="10758" max="10758" width="8.5703125" style="338" customWidth="1"/>
    <col min="10759" max="10759" width="13.85546875" style="338" customWidth="1"/>
    <col min="10760" max="10760" width="45.140625" style="338" customWidth="1"/>
    <col min="10761" max="10761" width="9.140625" style="338"/>
    <col min="10762" max="10763" width="14.28515625" style="338" bestFit="1" customWidth="1"/>
    <col min="10764" max="10764" width="12" style="338" bestFit="1" customWidth="1"/>
    <col min="10765" max="11008" width="9.140625" style="338"/>
    <col min="11009" max="11009" width="4.7109375" style="338" customWidth="1"/>
    <col min="11010" max="11010" width="35.42578125" style="338" customWidth="1"/>
    <col min="11011" max="11011" width="6.85546875" style="338" customWidth="1"/>
    <col min="11012" max="11012" width="24.7109375" style="338" customWidth="1"/>
    <col min="11013" max="11013" width="12.42578125" style="338" customWidth="1"/>
    <col min="11014" max="11014" width="8.5703125" style="338" customWidth="1"/>
    <col min="11015" max="11015" width="13.85546875" style="338" customWidth="1"/>
    <col min="11016" max="11016" width="45.140625" style="338" customWidth="1"/>
    <col min="11017" max="11017" width="9.140625" style="338"/>
    <col min="11018" max="11019" width="14.28515625" style="338" bestFit="1" customWidth="1"/>
    <col min="11020" max="11020" width="12" style="338" bestFit="1" customWidth="1"/>
    <col min="11021" max="11264" width="9.140625" style="338"/>
    <col min="11265" max="11265" width="4.7109375" style="338" customWidth="1"/>
    <col min="11266" max="11266" width="35.42578125" style="338" customWidth="1"/>
    <col min="11267" max="11267" width="6.85546875" style="338" customWidth="1"/>
    <col min="11268" max="11268" width="24.7109375" style="338" customWidth="1"/>
    <col min="11269" max="11269" width="12.42578125" style="338" customWidth="1"/>
    <col min="11270" max="11270" width="8.5703125" style="338" customWidth="1"/>
    <col min="11271" max="11271" width="13.85546875" style="338" customWidth="1"/>
    <col min="11272" max="11272" width="45.140625" style="338" customWidth="1"/>
    <col min="11273" max="11273" width="9.140625" style="338"/>
    <col min="11274" max="11275" width="14.28515625" style="338" bestFit="1" customWidth="1"/>
    <col min="11276" max="11276" width="12" style="338" bestFit="1" customWidth="1"/>
    <col min="11277" max="11520" width="9.140625" style="338"/>
    <col min="11521" max="11521" width="4.7109375" style="338" customWidth="1"/>
    <col min="11522" max="11522" width="35.42578125" style="338" customWidth="1"/>
    <col min="11523" max="11523" width="6.85546875" style="338" customWidth="1"/>
    <col min="11524" max="11524" width="24.7109375" style="338" customWidth="1"/>
    <col min="11525" max="11525" width="12.42578125" style="338" customWidth="1"/>
    <col min="11526" max="11526" width="8.5703125" style="338" customWidth="1"/>
    <col min="11527" max="11527" width="13.85546875" style="338" customWidth="1"/>
    <col min="11528" max="11528" width="45.140625" style="338" customWidth="1"/>
    <col min="11529" max="11529" width="9.140625" style="338"/>
    <col min="11530" max="11531" width="14.28515625" style="338" bestFit="1" customWidth="1"/>
    <col min="11532" max="11532" width="12" style="338" bestFit="1" customWidth="1"/>
    <col min="11533" max="11776" width="9.140625" style="338"/>
    <col min="11777" max="11777" width="4.7109375" style="338" customWidth="1"/>
    <col min="11778" max="11778" width="35.42578125" style="338" customWidth="1"/>
    <col min="11779" max="11779" width="6.85546875" style="338" customWidth="1"/>
    <col min="11780" max="11780" width="24.7109375" style="338" customWidth="1"/>
    <col min="11781" max="11781" width="12.42578125" style="338" customWidth="1"/>
    <col min="11782" max="11782" width="8.5703125" style="338" customWidth="1"/>
    <col min="11783" max="11783" width="13.85546875" style="338" customWidth="1"/>
    <col min="11784" max="11784" width="45.140625" style="338" customWidth="1"/>
    <col min="11785" max="11785" width="9.140625" style="338"/>
    <col min="11786" max="11787" width="14.28515625" style="338" bestFit="1" customWidth="1"/>
    <col min="11788" max="11788" width="12" style="338" bestFit="1" customWidth="1"/>
    <col min="11789" max="12032" width="9.140625" style="338"/>
    <col min="12033" max="12033" width="4.7109375" style="338" customWidth="1"/>
    <col min="12034" max="12034" width="35.42578125" style="338" customWidth="1"/>
    <col min="12035" max="12035" width="6.85546875" style="338" customWidth="1"/>
    <col min="12036" max="12036" width="24.7109375" style="338" customWidth="1"/>
    <col min="12037" max="12037" width="12.42578125" style="338" customWidth="1"/>
    <col min="12038" max="12038" width="8.5703125" style="338" customWidth="1"/>
    <col min="12039" max="12039" width="13.85546875" style="338" customWidth="1"/>
    <col min="12040" max="12040" width="45.140625" style="338" customWidth="1"/>
    <col min="12041" max="12041" width="9.140625" style="338"/>
    <col min="12042" max="12043" width="14.28515625" style="338" bestFit="1" customWidth="1"/>
    <col min="12044" max="12044" width="12" style="338" bestFit="1" customWidth="1"/>
    <col min="12045" max="12288" width="9.140625" style="338"/>
    <col min="12289" max="12289" width="4.7109375" style="338" customWidth="1"/>
    <col min="12290" max="12290" width="35.42578125" style="338" customWidth="1"/>
    <col min="12291" max="12291" width="6.85546875" style="338" customWidth="1"/>
    <col min="12292" max="12292" width="24.7109375" style="338" customWidth="1"/>
    <col min="12293" max="12293" width="12.42578125" style="338" customWidth="1"/>
    <col min="12294" max="12294" width="8.5703125" style="338" customWidth="1"/>
    <col min="12295" max="12295" width="13.85546875" style="338" customWidth="1"/>
    <col min="12296" max="12296" width="45.140625" style="338" customWidth="1"/>
    <col min="12297" max="12297" width="9.140625" style="338"/>
    <col min="12298" max="12299" width="14.28515625" style="338" bestFit="1" customWidth="1"/>
    <col min="12300" max="12300" width="12" style="338" bestFit="1" customWidth="1"/>
    <col min="12301" max="12544" width="9.140625" style="338"/>
    <col min="12545" max="12545" width="4.7109375" style="338" customWidth="1"/>
    <col min="12546" max="12546" width="35.42578125" style="338" customWidth="1"/>
    <col min="12547" max="12547" width="6.85546875" style="338" customWidth="1"/>
    <col min="12548" max="12548" width="24.7109375" style="338" customWidth="1"/>
    <col min="12549" max="12549" width="12.42578125" style="338" customWidth="1"/>
    <col min="12550" max="12550" width="8.5703125" style="338" customWidth="1"/>
    <col min="12551" max="12551" width="13.85546875" style="338" customWidth="1"/>
    <col min="12552" max="12552" width="45.140625" style="338" customWidth="1"/>
    <col min="12553" max="12553" width="9.140625" style="338"/>
    <col min="12554" max="12555" width="14.28515625" style="338" bestFit="1" customWidth="1"/>
    <col min="12556" max="12556" width="12" style="338" bestFit="1" customWidth="1"/>
    <col min="12557" max="12800" width="9.140625" style="338"/>
    <col min="12801" max="12801" width="4.7109375" style="338" customWidth="1"/>
    <col min="12802" max="12802" width="35.42578125" style="338" customWidth="1"/>
    <col min="12803" max="12803" width="6.85546875" style="338" customWidth="1"/>
    <col min="12804" max="12804" width="24.7109375" style="338" customWidth="1"/>
    <col min="12805" max="12805" width="12.42578125" style="338" customWidth="1"/>
    <col min="12806" max="12806" width="8.5703125" style="338" customWidth="1"/>
    <col min="12807" max="12807" width="13.85546875" style="338" customWidth="1"/>
    <col min="12808" max="12808" width="45.140625" style="338" customWidth="1"/>
    <col min="12809" max="12809" width="9.140625" style="338"/>
    <col min="12810" max="12811" width="14.28515625" style="338" bestFit="1" customWidth="1"/>
    <col min="12812" max="12812" width="12" style="338" bestFit="1" customWidth="1"/>
    <col min="12813" max="13056" width="9.140625" style="338"/>
    <col min="13057" max="13057" width="4.7109375" style="338" customWidth="1"/>
    <col min="13058" max="13058" width="35.42578125" style="338" customWidth="1"/>
    <col min="13059" max="13059" width="6.85546875" style="338" customWidth="1"/>
    <col min="13060" max="13060" width="24.7109375" style="338" customWidth="1"/>
    <col min="13061" max="13061" width="12.42578125" style="338" customWidth="1"/>
    <col min="13062" max="13062" width="8.5703125" style="338" customWidth="1"/>
    <col min="13063" max="13063" width="13.85546875" style="338" customWidth="1"/>
    <col min="13064" max="13064" width="45.140625" style="338" customWidth="1"/>
    <col min="13065" max="13065" width="9.140625" style="338"/>
    <col min="13066" max="13067" width="14.28515625" style="338" bestFit="1" customWidth="1"/>
    <col min="13068" max="13068" width="12" style="338" bestFit="1" customWidth="1"/>
    <col min="13069" max="13312" width="9.140625" style="338"/>
    <col min="13313" max="13313" width="4.7109375" style="338" customWidth="1"/>
    <col min="13314" max="13314" width="35.42578125" style="338" customWidth="1"/>
    <col min="13315" max="13315" width="6.85546875" style="338" customWidth="1"/>
    <col min="13316" max="13316" width="24.7109375" style="338" customWidth="1"/>
    <col min="13317" max="13317" width="12.42578125" style="338" customWidth="1"/>
    <col min="13318" max="13318" width="8.5703125" style="338" customWidth="1"/>
    <col min="13319" max="13319" width="13.85546875" style="338" customWidth="1"/>
    <col min="13320" max="13320" width="45.140625" style="338" customWidth="1"/>
    <col min="13321" max="13321" width="9.140625" style="338"/>
    <col min="13322" max="13323" width="14.28515625" style="338" bestFit="1" customWidth="1"/>
    <col min="13324" max="13324" width="12" style="338" bestFit="1" customWidth="1"/>
    <col min="13325" max="13568" width="9.140625" style="338"/>
    <col min="13569" max="13569" width="4.7109375" style="338" customWidth="1"/>
    <col min="13570" max="13570" width="35.42578125" style="338" customWidth="1"/>
    <col min="13571" max="13571" width="6.85546875" style="338" customWidth="1"/>
    <col min="13572" max="13572" width="24.7109375" style="338" customWidth="1"/>
    <col min="13573" max="13573" width="12.42578125" style="338" customWidth="1"/>
    <col min="13574" max="13574" width="8.5703125" style="338" customWidth="1"/>
    <col min="13575" max="13575" width="13.85546875" style="338" customWidth="1"/>
    <col min="13576" max="13576" width="45.140625" style="338" customWidth="1"/>
    <col min="13577" max="13577" width="9.140625" style="338"/>
    <col min="13578" max="13579" width="14.28515625" style="338" bestFit="1" customWidth="1"/>
    <col min="13580" max="13580" width="12" style="338" bestFit="1" customWidth="1"/>
    <col min="13581" max="13824" width="9.140625" style="338"/>
    <col min="13825" max="13825" width="4.7109375" style="338" customWidth="1"/>
    <col min="13826" max="13826" width="35.42578125" style="338" customWidth="1"/>
    <col min="13827" max="13827" width="6.85546875" style="338" customWidth="1"/>
    <col min="13828" max="13828" width="24.7109375" style="338" customWidth="1"/>
    <col min="13829" max="13829" width="12.42578125" style="338" customWidth="1"/>
    <col min="13830" max="13830" width="8.5703125" style="338" customWidth="1"/>
    <col min="13831" max="13831" width="13.85546875" style="338" customWidth="1"/>
    <col min="13832" max="13832" width="45.140625" style="338" customWidth="1"/>
    <col min="13833" max="13833" width="9.140625" style="338"/>
    <col min="13834" max="13835" width="14.28515625" style="338" bestFit="1" customWidth="1"/>
    <col min="13836" max="13836" width="12" style="338" bestFit="1" customWidth="1"/>
    <col min="13837" max="14080" width="9.140625" style="338"/>
    <col min="14081" max="14081" width="4.7109375" style="338" customWidth="1"/>
    <col min="14082" max="14082" width="35.42578125" style="338" customWidth="1"/>
    <col min="14083" max="14083" width="6.85546875" style="338" customWidth="1"/>
    <col min="14084" max="14084" width="24.7109375" style="338" customWidth="1"/>
    <col min="14085" max="14085" width="12.42578125" style="338" customWidth="1"/>
    <col min="14086" max="14086" width="8.5703125" style="338" customWidth="1"/>
    <col min="14087" max="14087" width="13.85546875" style="338" customWidth="1"/>
    <col min="14088" max="14088" width="45.140625" style="338" customWidth="1"/>
    <col min="14089" max="14089" width="9.140625" style="338"/>
    <col min="14090" max="14091" width="14.28515625" style="338" bestFit="1" customWidth="1"/>
    <col min="14092" max="14092" width="12" style="338" bestFit="1" customWidth="1"/>
    <col min="14093" max="14336" width="9.140625" style="338"/>
    <col min="14337" max="14337" width="4.7109375" style="338" customWidth="1"/>
    <col min="14338" max="14338" width="35.42578125" style="338" customWidth="1"/>
    <col min="14339" max="14339" width="6.85546875" style="338" customWidth="1"/>
    <col min="14340" max="14340" width="24.7109375" style="338" customWidth="1"/>
    <col min="14341" max="14341" width="12.42578125" style="338" customWidth="1"/>
    <col min="14342" max="14342" width="8.5703125" style="338" customWidth="1"/>
    <col min="14343" max="14343" width="13.85546875" style="338" customWidth="1"/>
    <col min="14344" max="14344" width="45.140625" style="338" customWidth="1"/>
    <col min="14345" max="14345" width="9.140625" style="338"/>
    <col min="14346" max="14347" width="14.28515625" style="338" bestFit="1" customWidth="1"/>
    <col min="14348" max="14348" width="12" style="338" bestFit="1" customWidth="1"/>
    <col min="14349" max="14592" width="9.140625" style="338"/>
    <col min="14593" max="14593" width="4.7109375" style="338" customWidth="1"/>
    <col min="14594" max="14594" width="35.42578125" style="338" customWidth="1"/>
    <col min="14595" max="14595" width="6.85546875" style="338" customWidth="1"/>
    <col min="14596" max="14596" width="24.7109375" style="338" customWidth="1"/>
    <col min="14597" max="14597" width="12.42578125" style="338" customWidth="1"/>
    <col min="14598" max="14598" width="8.5703125" style="338" customWidth="1"/>
    <col min="14599" max="14599" width="13.85546875" style="338" customWidth="1"/>
    <col min="14600" max="14600" width="45.140625" style="338" customWidth="1"/>
    <col min="14601" max="14601" width="9.140625" style="338"/>
    <col min="14602" max="14603" width="14.28515625" style="338" bestFit="1" customWidth="1"/>
    <col min="14604" max="14604" width="12" style="338" bestFit="1" customWidth="1"/>
    <col min="14605" max="14848" width="9.140625" style="338"/>
    <col min="14849" max="14849" width="4.7109375" style="338" customWidth="1"/>
    <col min="14850" max="14850" width="35.42578125" style="338" customWidth="1"/>
    <col min="14851" max="14851" width="6.85546875" style="338" customWidth="1"/>
    <col min="14852" max="14852" width="24.7109375" style="338" customWidth="1"/>
    <col min="14853" max="14853" width="12.42578125" style="338" customWidth="1"/>
    <col min="14854" max="14854" width="8.5703125" style="338" customWidth="1"/>
    <col min="14855" max="14855" width="13.85546875" style="338" customWidth="1"/>
    <col min="14856" max="14856" width="45.140625" style="338" customWidth="1"/>
    <col min="14857" max="14857" width="9.140625" style="338"/>
    <col min="14858" max="14859" width="14.28515625" style="338" bestFit="1" customWidth="1"/>
    <col min="14860" max="14860" width="12" style="338" bestFit="1" customWidth="1"/>
    <col min="14861" max="15104" width="9.140625" style="338"/>
    <col min="15105" max="15105" width="4.7109375" style="338" customWidth="1"/>
    <col min="15106" max="15106" width="35.42578125" style="338" customWidth="1"/>
    <col min="15107" max="15107" width="6.85546875" style="338" customWidth="1"/>
    <col min="15108" max="15108" width="24.7109375" style="338" customWidth="1"/>
    <col min="15109" max="15109" width="12.42578125" style="338" customWidth="1"/>
    <col min="15110" max="15110" width="8.5703125" style="338" customWidth="1"/>
    <col min="15111" max="15111" width="13.85546875" style="338" customWidth="1"/>
    <col min="15112" max="15112" width="45.140625" style="338" customWidth="1"/>
    <col min="15113" max="15113" width="9.140625" style="338"/>
    <col min="15114" max="15115" width="14.28515625" style="338" bestFit="1" customWidth="1"/>
    <col min="15116" max="15116" width="12" style="338" bestFit="1" customWidth="1"/>
    <col min="15117" max="15360" width="9.140625" style="338"/>
    <col min="15361" max="15361" width="4.7109375" style="338" customWidth="1"/>
    <col min="15362" max="15362" width="35.42578125" style="338" customWidth="1"/>
    <col min="15363" max="15363" width="6.85546875" style="338" customWidth="1"/>
    <col min="15364" max="15364" width="24.7109375" style="338" customWidth="1"/>
    <col min="15365" max="15365" width="12.42578125" style="338" customWidth="1"/>
    <col min="15366" max="15366" width="8.5703125" style="338" customWidth="1"/>
    <col min="15367" max="15367" width="13.85546875" style="338" customWidth="1"/>
    <col min="15368" max="15368" width="45.140625" style="338" customWidth="1"/>
    <col min="15369" max="15369" width="9.140625" style="338"/>
    <col min="15370" max="15371" width="14.28515625" style="338" bestFit="1" customWidth="1"/>
    <col min="15372" max="15372" width="12" style="338" bestFit="1" customWidth="1"/>
    <col min="15373" max="15616" width="9.140625" style="338"/>
    <col min="15617" max="15617" width="4.7109375" style="338" customWidth="1"/>
    <col min="15618" max="15618" width="35.42578125" style="338" customWidth="1"/>
    <col min="15619" max="15619" width="6.85546875" style="338" customWidth="1"/>
    <col min="15620" max="15620" width="24.7109375" style="338" customWidth="1"/>
    <col min="15621" max="15621" width="12.42578125" style="338" customWidth="1"/>
    <col min="15622" max="15622" width="8.5703125" style="338" customWidth="1"/>
    <col min="15623" max="15623" width="13.85546875" style="338" customWidth="1"/>
    <col min="15624" max="15624" width="45.140625" style="338" customWidth="1"/>
    <col min="15625" max="15625" width="9.140625" style="338"/>
    <col min="15626" max="15627" width="14.28515625" style="338" bestFit="1" customWidth="1"/>
    <col min="15628" max="15628" width="12" style="338" bestFit="1" customWidth="1"/>
    <col min="15629" max="15872" width="9.140625" style="338"/>
    <col min="15873" max="15873" width="4.7109375" style="338" customWidth="1"/>
    <col min="15874" max="15874" width="35.42578125" style="338" customWidth="1"/>
    <col min="15875" max="15875" width="6.85546875" style="338" customWidth="1"/>
    <col min="15876" max="15876" width="24.7109375" style="338" customWidth="1"/>
    <col min="15877" max="15877" width="12.42578125" style="338" customWidth="1"/>
    <col min="15878" max="15878" width="8.5703125" style="338" customWidth="1"/>
    <col min="15879" max="15879" width="13.85546875" style="338" customWidth="1"/>
    <col min="15880" max="15880" width="45.140625" style="338" customWidth="1"/>
    <col min="15881" max="15881" width="9.140625" style="338"/>
    <col min="15882" max="15883" width="14.28515625" style="338" bestFit="1" customWidth="1"/>
    <col min="15884" max="15884" width="12" style="338" bestFit="1" customWidth="1"/>
    <col min="15885" max="16128" width="9.140625" style="338"/>
    <col min="16129" max="16129" width="4.7109375" style="338" customWidth="1"/>
    <col min="16130" max="16130" width="35.42578125" style="338" customWidth="1"/>
    <col min="16131" max="16131" width="6.85546875" style="338" customWidth="1"/>
    <col min="16132" max="16132" width="24.7109375" style="338" customWidth="1"/>
    <col min="16133" max="16133" width="12.42578125" style="338" customWidth="1"/>
    <col min="16134" max="16134" width="8.5703125" style="338" customWidth="1"/>
    <col min="16135" max="16135" width="13.85546875" style="338" customWidth="1"/>
    <col min="16136" max="16136" width="45.140625" style="338" customWidth="1"/>
    <col min="16137" max="16137" width="9.140625" style="338"/>
    <col min="16138" max="16139" width="14.28515625" style="338" bestFit="1" customWidth="1"/>
    <col min="16140" max="16140" width="12" style="338" bestFit="1" customWidth="1"/>
    <col min="16141" max="16384" width="9.140625" style="338"/>
  </cols>
  <sheetData>
    <row r="1" spans="1:10" x14ac:dyDescent="0.25">
      <c r="G1" s="337" t="s">
        <v>495</v>
      </c>
    </row>
    <row r="3" spans="1:10" ht="12.75" x14ac:dyDescent="0.25">
      <c r="A3" s="627" t="s">
        <v>533</v>
      </c>
      <c r="B3" s="628"/>
      <c r="C3" s="628"/>
      <c r="D3" s="628"/>
      <c r="E3" s="628"/>
      <c r="F3" s="628"/>
      <c r="G3" s="628"/>
      <c r="J3" s="357">
        <v>1</v>
      </c>
    </row>
    <row r="4" spans="1:10" ht="12.75" x14ac:dyDescent="0.25">
      <c r="A4" s="627"/>
      <c r="B4" s="628"/>
      <c r="C4" s="628"/>
      <c r="D4" s="628"/>
      <c r="E4" s="628"/>
      <c r="F4" s="628"/>
      <c r="G4" s="628"/>
    </row>
    <row r="5" spans="1:10" ht="14.25" x14ac:dyDescent="0.25">
      <c r="A5" s="629" t="s">
        <v>537</v>
      </c>
      <c r="B5" s="630"/>
      <c r="C5" s="630"/>
      <c r="D5" s="630"/>
      <c r="E5" s="630"/>
      <c r="F5" s="630"/>
      <c r="G5" s="630"/>
    </row>
    <row r="6" spans="1:10" x14ac:dyDescent="0.25">
      <c r="A6" s="358"/>
      <c r="B6" s="358"/>
      <c r="C6" s="358"/>
      <c r="D6" s="358"/>
      <c r="E6" s="358"/>
      <c r="F6" s="358"/>
      <c r="G6" s="358"/>
    </row>
    <row r="7" spans="1:10" ht="12.75" x14ac:dyDescent="0.25">
      <c r="A7" s="631" t="s">
        <v>27</v>
      </c>
      <c r="B7" s="634" t="s">
        <v>28</v>
      </c>
      <c r="C7" s="634" t="s">
        <v>29</v>
      </c>
      <c r="D7" s="634" t="s">
        <v>30</v>
      </c>
      <c r="E7" s="639" t="s">
        <v>498</v>
      </c>
      <c r="F7" s="634" t="s">
        <v>31</v>
      </c>
      <c r="G7" s="642" t="s">
        <v>32</v>
      </c>
    </row>
    <row r="8" spans="1:10" ht="12.75" x14ac:dyDescent="0.25">
      <c r="A8" s="632"/>
      <c r="B8" s="635"/>
      <c r="C8" s="637"/>
      <c r="D8" s="637"/>
      <c r="E8" s="640"/>
      <c r="F8" s="635"/>
      <c r="G8" s="643"/>
    </row>
    <row r="9" spans="1:10" ht="12.75" x14ac:dyDescent="0.25">
      <c r="A9" s="632"/>
      <c r="B9" s="635"/>
      <c r="C9" s="637"/>
      <c r="D9" s="637"/>
      <c r="E9" s="640"/>
      <c r="F9" s="635"/>
      <c r="G9" s="643"/>
    </row>
    <row r="10" spans="1:10" ht="12.75" x14ac:dyDescent="0.25">
      <c r="A10" s="632"/>
      <c r="B10" s="635"/>
      <c r="C10" s="637"/>
      <c r="D10" s="637"/>
      <c r="E10" s="640"/>
      <c r="F10" s="635"/>
      <c r="G10" s="643"/>
    </row>
    <row r="11" spans="1:10" ht="12.75" x14ac:dyDescent="0.25">
      <c r="A11" s="632"/>
      <c r="B11" s="635"/>
      <c r="C11" s="637"/>
      <c r="D11" s="637"/>
      <c r="E11" s="640"/>
      <c r="F11" s="635"/>
      <c r="G11" s="643"/>
    </row>
    <row r="12" spans="1:10" ht="12.75" x14ac:dyDescent="0.25">
      <c r="A12" s="632"/>
      <c r="B12" s="635"/>
      <c r="C12" s="637"/>
      <c r="D12" s="637"/>
      <c r="E12" s="640"/>
      <c r="F12" s="635"/>
      <c r="G12" s="643"/>
    </row>
    <row r="13" spans="1:10" ht="12.75" x14ac:dyDescent="0.25">
      <c r="A13" s="633"/>
      <c r="B13" s="636"/>
      <c r="C13" s="638"/>
      <c r="D13" s="638"/>
      <c r="E13" s="641"/>
      <c r="F13" s="636"/>
      <c r="G13" s="644"/>
    </row>
    <row r="14" spans="1:10" x14ac:dyDescent="0.25">
      <c r="A14" s="359" t="s">
        <v>499</v>
      </c>
      <c r="B14" s="360" t="s">
        <v>500</v>
      </c>
      <c r="C14" s="360" t="s">
        <v>501</v>
      </c>
      <c r="D14" s="360" t="s">
        <v>502</v>
      </c>
      <c r="E14" s="361" t="s">
        <v>503</v>
      </c>
      <c r="F14" s="360" t="s">
        <v>504</v>
      </c>
      <c r="G14" s="361" t="s">
        <v>505</v>
      </c>
    </row>
    <row r="15" spans="1:10" ht="12.75" x14ac:dyDescent="0.25">
      <c r="A15" s="650"/>
      <c r="B15" s="651" t="s">
        <v>33</v>
      </c>
      <c r="C15" s="652"/>
      <c r="D15" s="652"/>
      <c r="E15" s="652"/>
      <c r="F15" s="652"/>
      <c r="G15" s="653"/>
    </row>
    <row r="16" spans="1:10" ht="12.75" x14ac:dyDescent="0.25">
      <c r="A16" s="632"/>
      <c r="B16" s="654"/>
      <c r="C16" s="655"/>
      <c r="D16" s="655"/>
      <c r="E16" s="655"/>
      <c r="F16" s="655"/>
      <c r="G16" s="656"/>
    </row>
    <row r="17" spans="1:11" ht="12.75" x14ac:dyDescent="0.25">
      <c r="A17" s="632"/>
      <c r="B17" s="654"/>
      <c r="C17" s="655"/>
      <c r="D17" s="655"/>
      <c r="E17" s="655"/>
      <c r="F17" s="655"/>
      <c r="G17" s="656"/>
    </row>
    <row r="18" spans="1:11" ht="27" customHeight="1" x14ac:dyDescent="0.25">
      <c r="A18" s="632"/>
      <c r="B18" s="654" t="s">
        <v>524</v>
      </c>
      <c r="C18" s="657"/>
      <c r="D18" s="657"/>
      <c r="E18" s="657"/>
      <c r="F18" s="657"/>
      <c r="G18" s="658"/>
    </row>
    <row r="19" spans="1:11" ht="17.25" customHeight="1" x14ac:dyDescent="0.25">
      <c r="A19" s="632"/>
      <c r="B19" s="654" t="s">
        <v>525</v>
      </c>
      <c r="C19" s="655"/>
      <c r="D19" s="655"/>
      <c r="E19" s="655"/>
      <c r="F19" s="655"/>
      <c r="G19" s="656"/>
      <c r="H19" s="362"/>
    </row>
    <row r="20" spans="1:11" ht="12.75" x14ac:dyDescent="0.25">
      <c r="A20" s="632"/>
      <c r="B20" s="654"/>
      <c r="C20" s="655"/>
      <c r="D20" s="655"/>
      <c r="E20" s="655"/>
      <c r="F20" s="655"/>
      <c r="G20" s="656"/>
      <c r="H20" s="362"/>
    </row>
    <row r="21" spans="1:11" ht="15" x14ac:dyDescent="0.25">
      <c r="A21" s="363" t="str">
        <f>IF(COUNTA(B21:F21)&gt;=3,FLOOR(MAX(#REF!),1)+1,"")</f>
        <v/>
      </c>
      <c r="B21" s="659"/>
      <c r="C21" s="660"/>
      <c r="D21" s="660"/>
      <c r="E21" s="660"/>
      <c r="F21" s="660"/>
      <c r="G21" s="661"/>
    </row>
    <row r="22" spans="1:11" ht="45" x14ac:dyDescent="0.25">
      <c r="A22" s="363">
        <v>1</v>
      </c>
      <c r="B22" s="364" t="s">
        <v>526</v>
      </c>
      <c r="C22" s="360" t="s">
        <v>35</v>
      </c>
      <c r="D22" s="360" t="s">
        <v>527</v>
      </c>
      <c r="E22" s="365">
        <f>540*4*77.61</f>
        <v>167637.6</v>
      </c>
      <c r="F22" s="365">
        <v>1</v>
      </c>
      <c r="G22" s="365">
        <f>E22*F22</f>
        <v>167637.6</v>
      </c>
    </row>
    <row r="23" spans="1:11" s="356" customFormat="1" ht="60" x14ac:dyDescent="0.25">
      <c r="A23" s="363">
        <v>2</v>
      </c>
      <c r="B23" s="364" t="s">
        <v>530</v>
      </c>
      <c r="C23" s="364" t="s">
        <v>47</v>
      </c>
      <c r="D23" s="360" t="s">
        <v>531</v>
      </c>
      <c r="E23" s="365">
        <f>540*4*53.28</f>
        <v>115084.8</v>
      </c>
      <c r="F23" s="365">
        <v>1</v>
      </c>
      <c r="G23" s="365">
        <f>E23*F23</f>
        <v>115084.8</v>
      </c>
    </row>
    <row r="24" spans="1:11" ht="45" x14ac:dyDescent="0.25">
      <c r="A24" s="363">
        <v>3</v>
      </c>
      <c r="B24" s="364" t="s">
        <v>528</v>
      </c>
      <c r="C24" s="364" t="s">
        <v>47</v>
      </c>
      <c r="D24" s="360" t="s">
        <v>529</v>
      </c>
      <c r="E24" s="365">
        <f>540*4*37.35</f>
        <v>80676</v>
      </c>
      <c r="F24" s="365">
        <v>1.2</v>
      </c>
      <c r="G24" s="365">
        <f>E24*F24</f>
        <v>96811.199999999997</v>
      </c>
    </row>
    <row r="25" spans="1:11" s="356" customFormat="1" ht="45" x14ac:dyDescent="0.25">
      <c r="A25" s="363">
        <v>4</v>
      </c>
      <c r="B25" s="364" t="s">
        <v>539</v>
      </c>
      <c r="C25" s="364" t="s">
        <v>438</v>
      </c>
      <c r="D25" s="360" t="s">
        <v>439</v>
      </c>
      <c r="E25" s="365">
        <f>540*4*1</f>
        <v>2160</v>
      </c>
      <c r="F25" s="365">
        <v>21.6</v>
      </c>
      <c r="G25" s="365">
        <f>E25*F25</f>
        <v>46656</v>
      </c>
      <c r="H25" s="373"/>
    </row>
    <row r="26" spans="1:11" x14ac:dyDescent="0.25">
      <c r="A26" s="363"/>
      <c r="B26" s="366" t="s">
        <v>60</v>
      </c>
      <c r="C26" s="360"/>
      <c r="D26" s="360"/>
      <c r="E26" s="367"/>
      <c r="F26" s="363"/>
      <c r="G26" s="368">
        <f>SUM(G22:G25)</f>
        <v>426189.60000000003</v>
      </c>
      <c r="J26" s="350"/>
      <c r="K26" s="350"/>
    </row>
    <row r="27" spans="1:11" s="353" customFormat="1" x14ac:dyDescent="0.25">
      <c r="A27" s="369"/>
      <c r="B27" s="370"/>
      <c r="H27" s="352"/>
    </row>
    <row r="28" spans="1:11" s="353" customFormat="1" ht="15" x14ac:dyDescent="0.25">
      <c r="B28" s="662" t="s">
        <v>532</v>
      </c>
      <c r="C28" s="649"/>
      <c r="D28" s="649"/>
      <c r="E28" s="649"/>
      <c r="F28" s="649"/>
      <c r="G28" s="649"/>
      <c r="H28" s="649"/>
      <c r="I28" s="649"/>
    </row>
    <row r="29" spans="1:11" s="353" customFormat="1" x14ac:dyDescent="0.25">
      <c r="B29" s="370"/>
      <c r="H29" s="352"/>
    </row>
    <row r="31" spans="1:11" ht="12.75" x14ac:dyDescent="0.2">
      <c r="A31" s="371"/>
      <c r="B31" s="371"/>
      <c r="C31" s="371"/>
      <c r="D31" s="371"/>
      <c r="E31" s="371"/>
      <c r="F31" s="371"/>
      <c r="G31" s="371"/>
      <c r="H31" s="371"/>
      <c r="I31" s="371"/>
    </row>
    <row r="32" spans="1:11" ht="29.25" customHeight="1" x14ac:dyDescent="0.25">
      <c r="A32" s="645"/>
      <c r="B32" s="646"/>
      <c r="C32" s="647"/>
      <c r="D32" s="647"/>
      <c r="E32" s="647"/>
      <c r="F32" s="647"/>
      <c r="G32" s="647"/>
      <c r="H32" s="648"/>
      <c r="I32" s="371"/>
    </row>
    <row r="33" spans="1:8" ht="15" x14ac:dyDescent="0.25">
      <c r="A33" s="371"/>
      <c r="B33" s="371"/>
      <c r="C33" s="371"/>
      <c r="D33" s="371"/>
      <c r="E33" s="371"/>
      <c r="F33" s="371"/>
      <c r="G33" s="371"/>
      <c r="H33" s="372"/>
    </row>
    <row r="34" spans="1:8" ht="15" x14ac:dyDescent="0.25">
      <c r="A34" s="645"/>
      <c r="B34" s="646"/>
      <c r="C34" s="647"/>
      <c r="D34" s="647"/>
      <c r="E34" s="647"/>
      <c r="F34" s="647"/>
      <c r="G34" s="647"/>
      <c r="H34" s="649"/>
    </row>
  </sheetData>
  <mergeCells count="17">
    <mergeCell ref="A32:H32"/>
    <mergeCell ref="A34:H34"/>
    <mergeCell ref="A15:A20"/>
    <mergeCell ref="B15:G17"/>
    <mergeCell ref="B18:G18"/>
    <mergeCell ref="B19:G20"/>
    <mergeCell ref="B21:G21"/>
    <mergeCell ref="B28:I28"/>
    <mergeCell ref="A3:G4"/>
    <mergeCell ref="A5:G5"/>
    <mergeCell ref="A7:A13"/>
    <mergeCell ref="B7:B13"/>
    <mergeCell ref="C7:C13"/>
    <mergeCell ref="D7:D13"/>
    <mergeCell ref="E7:E13"/>
    <mergeCell ref="F7:F13"/>
    <mergeCell ref="G7:G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РНЦ</vt:lpstr>
      <vt:lpstr>Инж геодезия</vt:lpstr>
      <vt:lpstr>Инж геология</vt:lpstr>
      <vt:lpstr>НПД</vt:lpstr>
      <vt:lpstr>П+РД</vt:lpstr>
      <vt:lpstr>ИКЭ</vt:lpstr>
      <vt:lpstr>Сохр ОКН археол</vt:lpstr>
      <vt:lpstr>Сохр ОКН</vt:lpstr>
      <vt:lpstr>'Инж геодезия'!Область_печати</vt:lpstr>
      <vt:lpstr>'Инж геология'!Область_печати</vt:lpstr>
      <vt:lpstr>'П+РД'!Область_печати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Стребкова</dc:creator>
  <cp:lastModifiedBy>Наталья Стребкова</cp:lastModifiedBy>
  <cp:lastPrinted>2019-11-23T03:33:44Z</cp:lastPrinted>
  <dcterms:created xsi:type="dcterms:W3CDTF">2015-06-05T18:17:20Z</dcterms:created>
  <dcterms:modified xsi:type="dcterms:W3CDTF">2020-04-17T15:35:47Z</dcterms:modified>
</cp:coreProperties>
</file>